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P:\Masters\PDPM Rates - FY2025 Final Rule\"/>
    </mc:Choice>
  </mc:AlternateContent>
  <xr:revisionPtr revIDLastSave="0" documentId="13_ncr:1_{7E7F00D0-20A7-4068-8D18-587A0B9F9380}" xr6:coauthVersionLast="47" xr6:coauthVersionMax="47" xr10:uidLastSave="{00000000-0000-0000-0000-000000000000}"/>
  <workbookProtection workbookAlgorithmName="SHA-512" workbookHashValue="cZGexJh0PRwdm/UB/uljNfU8p+LODOAcd4zjeJSRg9ByWqUZ/SJ9sY+IhNAxjO5iOrHO101OJXA9ehYhjZnG7w==" workbookSaltValue="rPnVceiB08YoFSEQlj0K/w==" workbookSpinCount="100000" lockStructure="1"/>
  <bookViews>
    <workbookView xWindow="-120" yWindow="-120" windowWidth="38640" windowHeight="21240" xr2:uid="{00000000-000D-0000-FFFF-FFFF00000000}"/>
  </bookViews>
  <sheets>
    <sheet name="Summary" sheetId="2" r:id="rId1"/>
    <sheet name="Nursing" sheetId="5" state="hidden" r:id="rId2"/>
    <sheet name="PT &amp; OT" sheetId="6" state="hidden" r:id="rId3"/>
    <sheet name="SLP" sheetId="7" state="hidden" r:id="rId4"/>
    <sheet name="NTA" sheetId="8" state="hidden" r:id="rId5"/>
    <sheet name="Non-Case Mix" sheetId="9" state="hidden" r:id="rId6"/>
    <sheet name="Federal Register Tables" sheetId="1" state="hidden" r:id="rId7"/>
    <sheet name="Wage Index" sheetId="3" state="hidden" r:id="rId8"/>
  </sheets>
  <definedNames>
    <definedName name="_xlnm.Print_Titles" localSheetId="0">Summary!$1:$8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3" i="1" l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J5" i="1"/>
  <c r="D54" i="3" l="1"/>
  <c r="I10" i="1" l="1"/>
  <c r="K5" i="1"/>
  <c r="F11" i="5" l="1"/>
  <c r="E11" i="6"/>
  <c r="E11" i="7"/>
  <c r="E11" i="8"/>
  <c r="E11" i="9"/>
  <c r="W73" i="1"/>
  <c r="V73" i="1"/>
  <c r="U73" i="1"/>
  <c r="T73" i="1"/>
  <c r="S73" i="1"/>
  <c r="R73" i="1"/>
  <c r="W72" i="1"/>
  <c r="V72" i="1"/>
  <c r="U72" i="1"/>
  <c r="T72" i="1"/>
  <c r="S72" i="1"/>
  <c r="R72" i="1"/>
  <c r="W71" i="1"/>
  <c r="V71" i="1"/>
  <c r="U71" i="1"/>
  <c r="T71" i="1"/>
  <c r="S71" i="1"/>
  <c r="R71" i="1"/>
  <c r="W70" i="1"/>
  <c r="V70" i="1"/>
  <c r="U70" i="1"/>
  <c r="T70" i="1"/>
  <c r="S70" i="1"/>
  <c r="R70" i="1"/>
  <c r="W69" i="1"/>
  <c r="V69" i="1"/>
  <c r="U69" i="1"/>
  <c r="T69" i="1"/>
  <c r="S69" i="1"/>
  <c r="R69" i="1"/>
  <c r="W68" i="1"/>
  <c r="V68" i="1"/>
  <c r="U68" i="1"/>
  <c r="T68" i="1"/>
  <c r="S68" i="1"/>
  <c r="R68" i="1"/>
  <c r="W67" i="1"/>
  <c r="V67" i="1"/>
  <c r="U67" i="1"/>
  <c r="T67" i="1"/>
  <c r="S67" i="1"/>
  <c r="R67" i="1"/>
  <c r="W66" i="1"/>
  <c r="V66" i="1"/>
  <c r="U66" i="1"/>
  <c r="T66" i="1"/>
  <c r="S66" i="1"/>
  <c r="R66" i="1"/>
  <c r="W65" i="1"/>
  <c r="V65" i="1"/>
  <c r="U65" i="1"/>
  <c r="T65" i="1"/>
  <c r="S65" i="1"/>
  <c r="R65" i="1"/>
  <c r="W64" i="1"/>
  <c r="V64" i="1"/>
  <c r="U64" i="1"/>
  <c r="T64" i="1"/>
  <c r="S64" i="1"/>
  <c r="R64" i="1"/>
  <c r="W63" i="1"/>
  <c r="V63" i="1"/>
  <c r="U63" i="1"/>
  <c r="T63" i="1"/>
  <c r="S63" i="1"/>
  <c r="R63" i="1"/>
  <c r="W62" i="1"/>
  <c r="V62" i="1"/>
  <c r="U62" i="1"/>
  <c r="T62" i="1"/>
  <c r="S62" i="1"/>
  <c r="R62" i="1"/>
  <c r="W61" i="1"/>
  <c r="V61" i="1"/>
  <c r="U61" i="1"/>
  <c r="T61" i="1"/>
  <c r="S61" i="1"/>
  <c r="R61" i="1"/>
  <c r="W60" i="1"/>
  <c r="V60" i="1"/>
  <c r="U60" i="1"/>
  <c r="T60" i="1"/>
  <c r="S60" i="1"/>
  <c r="R60" i="1"/>
  <c r="W59" i="1"/>
  <c r="V59" i="1"/>
  <c r="U59" i="1"/>
  <c r="T59" i="1"/>
  <c r="S59" i="1"/>
  <c r="R59" i="1"/>
  <c r="W58" i="1"/>
  <c r="V58" i="1"/>
  <c r="U58" i="1"/>
  <c r="T58" i="1"/>
  <c r="S58" i="1"/>
  <c r="R58" i="1"/>
  <c r="W57" i="1"/>
  <c r="V57" i="1"/>
  <c r="U57" i="1"/>
  <c r="T57" i="1"/>
  <c r="S57" i="1"/>
  <c r="R57" i="1"/>
  <c r="W56" i="1"/>
  <c r="V56" i="1"/>
  <c r="U56" i="1"/>
  <c r="T56" i="1"/>
  <c r="S56" i="1"/>
  <c r="R56" i="1"/>
  <c r="W55" i="1"/>
  <c r="V55" i="1"/>
  <c r="U55" i="1"/>
  <c r="T55" i="1"/>
  <c r="S55" i="1"/>
  <c r="R55" i="1"/>
  <c r="W54" i="1"/>
  <c r="V54" i="1"/>
  <c r="U54" i="1"/>
  <c r="T54" i="1"/>
  <c r="S54" i="1"/>
  <c r="R54" i="1"/>
  <c r="W53" i="1"/>
  <c r="V53" i="1"/>
  <c r="U53" i="1"/>
  <c r="T53" i="1"/>
  <c r="S53" i="1"/>
  <c r="R53" i="1"/>
  <c r="W52" i="1"/>
  <c r="V52" i="1"/>
  <c r="U52" i="1"/>
  <c r="T52" i="1"/>
  <c r="S52" i="1"/>
  <c r="R52" i="1"/>
  <c r="W51" i="1"/>
  <c r="V51" i="1"/>
  <c r="U51" i="1"/>
  <c r="T51" i="1"/>
  <c r="S51" i="1"/>
  <c r="R51" i="1"/>
  <c r="W50" i="1"/>
  <c r="V50" i="1"/>
  <c r="U50" i="1"/>
  <c r="T50" i="1"/>
  <c r="S50" i="1"/>
  <c r="R50" i="1"/>
  <c r="W49" i="1"/>
  <c r="V49" i="1"/>
  <c r="U49" i="1"/>
  <c r="T49" i="1"/>
  <c r="S49" i="1"/>
  <c r="R49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X19" i="1" l="1"/>
  <c r="Y19" i="1" s="1"/>
  <c r="X54" i="1"/>
  <c r="Y54" i="1" s="1"/>
  <c r="X56" i="1"/>
  <c r="Y56" i="1" s="1"/>
  <c r="X58" i="1"/>
  <c r="Y58" i="1" s="1"/>
  <c r="X60" i="1"/>
  <c r="Y60" i="1" s="1"/>
  <c r="X62" i="1"/>
  <c r="Y62" i="1" s="1"/>
  <c r="X64" i="1"/>
  <c r="Y64" i="1" s="1"/>
  <c r="X66" i="1"/>
  <c r="Y66" i="1" s="1"/>
  <c r="X68" i="1"/>
  <c r="Y68" i="1" s="1"/>
  <c r="X70" i="1"/>
  <c r="Y70" i="1" s="1"/>
  <c r="X72" i="1"/>
  <c r="Y72" i="1" s="1"/>
  <c r="X50" i="1"/>
  <c r="X21" i="1"/>
  <c r="Y21" i="1" s="1"/>
  <c r="X25" i="1"/>
  <c r="Y25" i="1" s="1"/>
  <c r="X29" i="1"/>
  <c r="Y29" i="1" s="1"/>
  <c r="X33" i="1"/>
  <c r="Y33" i="1" s="1"/>
  <c r="X37" i="1"/>
  <c r="Y37" i="1" s="1"/>
  <c r="X41" i="1"/>
  <c r="Y41" i="1" s="1"/>
  <c r="X52" i="1"/>
  <c r="Y52" i="1" s="1"/>
  <c r="X49" i="1"/>
  <c r="Y49" i="1" s="1"/>
  <c r="X20" i="1"/>
  <c r="Y20" i="1" s="1"/>
  <c r="X24" i="1"/>
  <c r="Y24" i="1" s="1"/>
  <c r="X28" i="1"/>
  <c r="Y28" i="1" s="1"/>
  <c r="X32" i="1"/>
  <c r="Y32" i="1" s="1"/>
  <c r="X36" i="1"/>
  <c r="Y36" i="1" s="1"/>
  <c r="X40" i="1"/>
  <c r="Y40" i="1" s="1"/>
  <c r="X23" i="1"/>
  <c r="Y23" i="1" s="1"/>
  <c r="X27" i="1"/>
  <c r="Y27" i="1" s="1"/>
  <c r="X31" i="1"/>
  <c r="Y31" i="1" s="1"/>
  <c r="X35" i="1"/>
  <c r="Y35" i="1" s="1"/>
  <c r="X39" i="1"/>
  <c r="Y39" i="1" s="1"/>
  <c r="X43" i="1"/>
  <c r="Y43" i="1" s="1"/>
  <c r="X22" i="1"/>
  <c r="Y22" i="1" s="1"/>
  <c r="X26" i="1"/>
  <c r="Y26" i="1" s="1"/>
  <c r="X30" i="1"/>
  <c r="Y30" i="1" s="1"/>
  <c r="X34" i="1"/>
  <c r="Y34" i="1" s="1"/>
  <c r="X38" i="1"/>
  <c r="Y38" i="1" s="1"/>
  <c r="X42" i="1"/>
  <c r="Y42" i="1" s="1"/>
  <c r="Y50" i="1"/>
  <c r="X51" i="1"/>
  <c r="Y51" i="1" s="1"/>
  <c r="X53" i="1"/>
  <c r="Y53" i="1" s="1"/>
  <c r="X55" i="1"/>
  <c r="Y55" i="1" s="1"/>
  <c r="X57" i="1"/>
  <c r="Y57" i="1" s="1"/>
  <c r="X59" i="1"/>
  <c r="Y59" i="1" s="1"/>
  <c r="X61" i="1"/>
  <c r="Y61" i="1" s="1"/>
  <c r="X63" i="1"/>
  <c r="Y63" i="1" s="1"/>
  <c r="X65" i="1"/>
  <c r="Y65" i="1" s="1"/>
  <c r="X67" i="1"/>
  <c r="Y67" i="1" s="1"/>
  <c r="X69" i="1"/>
  <c r="Y69" i="1" s="1"/>
  <c r="X71" i="1"/>
  <c r="Y71" i="1" s="1"/>
  <c r="X73" i="1"/>
  <c r="Y73" i="1" s="1"/>
  <c r="I14" i="1"/>
  <c r="K80" i="2" l="1"/>
  <c r="K81" i="2" l="1"/>
  <c r="K82" i="2" l="1"/>
  <c r="K83" i="2" l="1"/>
  <c r="K84" i="2" s="1"/>
  <c r="K85" i="2" l="1"/>
  <c r="K86" i="2" l="1"/>
  <c r="K87" i="2" l="1"/>
  <c r="K88" i="2" l="1"/>
  <c r="K89" i="2" l="1"/>
  <c r="K90" i="2" l="1"/>
  <c r="K91" i="2" l="1"/>
  <c r="K92" i="2" l="1"/>
  <c r="K93" i="2" l="1"/>
  <c r="K94" i="2" l="1"/>
  <c r="E78" i="2" l="1"/>
  <c r="K40" i="2"/>
  <c r="K39" i="2"/>
  <c r="J46" i="2"/>
  <c r="J45" i="2"/>
  <c r="J44" i="2"/>
  <c r="J43" i="2"/>
  <c r="J42" i="2"/>
  <c r="J41" i="2"/>
  <c r="I40" i="2"/>
  <c r="I39" i="2"/>
  <c r="H52" i="2"/>
  <c r="H51" i="2"/>
  <c r="H50" i="2"/>
  <c r="H49" i="2"/>
  <c r="H48" i="2"/>
  <c r="H47" i="2"/>
  <c r="H46" i="2"/>
  <c r="H45" i="2"/>
  <c r="H44" i="2"/>
  <c r="H43" i="2"/>
  <c r="H42" i="2"/>
  <c r="H41" i="2"/>
  <c r="G40" i="2"/>
  <c r="G39" i="2"/>
  <c r="F40" i="2"/>
  <c r="F39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D71" i="2" l="1"/>
  <c r="D69" i="2"/>
  <c r="D70" i="2"/>
  <c r="L12" i="2"/>
  <c r="L11" i="2"/>
  <c r="K12" i="2"/>
  <c r="K11" i="2"/>
  <c r="J18" i="2"/>
  <c r="J17" i="2"/>
  <c r="J16" i="2"/>
  <c r="J15" i="2"/>
  <c r="J14" i="2"/>
  <c r="J13" i="2"/>
  <c r="I12" i="2"/>
  <c r="I11" i="2"/>
  <c r="H24" i="2"/>
  <c r="H23" i="2"/>
  <c r="H22" i="2"/>
  <c r="H21" i="2"/>
  <c r="H20" i="2"/>
  <c r="H19" i="2"/>
  <c r="H18" i="2"/>
  <c r="H17" i="2"/>
  <c r="H16" i="2"/>
  <c r="H15" i="2"/>
  <c r="H14" i="2"/>
  <c r="H13" i="2"/>
  <c r="G12" i="2"/>
  <c r="G11" i="2"/>
  <c r="F12" i="2"/>
  <c r="F1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12" i="2"/>
  <c r="D11" i="2"/>
  <c r="C12" i="2"/>
  <c r="C11" i="2"/>
  <c r="M83" i="2" l="1"/>
  <c r="M84" i="2" s="1"/>
  <c r="M85" i="2" s="1"/>
  <c r="E9" i="9"/>
  <c r="D14" i="9" s="1"/>
  <c r="G11" i="9"/>
  <c r="D19" i="8"/>
  <c r="D18" i="8"/>
  <c r="D17" i="8"/>
  <c r="D16" i="8"/>
  <c r="D15" i="8"/>
  <c r="D14" i="8"/>
  <c r="C19" i="8"/>
  <c r="K46" i="2" s="1"/>
  <c r="C18" i="8"/>
  <c r="K45" i="2" s="1"/>
  <c r="C17" i="8"/>
  <c r="K44" i="2" s="1"/>
  <c r="C16" i="8"/>
  <c r="K43" i="2" s="1"/>
  <c r="C15" i="8"/>
  <c r="K42" i="2" s="1"/>
  <c r="C14" i="8"/>
  <c r="K41" i="2" s="1"/>
  <c r="E9" i="8"/>
  <c r="D27" i="8" s="1"/>
  <c r="G11" i="8"/>
  <c r="C38" i="5"/>
  <c r="C37" i="2" s="1"/>
  <c r="B38" i="5"/>
  <c r="B37" i="2" s="1"/>
  <c r="C37" i="5"/>
  <c r="C36" i="2" s="1"/>
  <c r="B37" i="5"/>
  <c r="B36" i="2" s="1"/>
  <c r="C36" i="5"/>
  <c r="C35" i="2" s="1"/>
  <c r="B36" i="5"/>
  <c r="B35" i="2" s="1"/>
  <c r="C35" i="5"/>
  <c r="C34" i="2" s="1"/>
  <c r="B35" i="5"/>
  <c r="B34" i="2" s="1"/>
  <c r="C34" i="5"/>
  <c r="C33" i="2" s="1"/>
  <c r="B34" i="5"/>
  <c r="B33" i="2" s="1"/>
  <c r="C33" i="5"/>
  <c r="C32" i="2" s="1"/>
  <c r="B33" i="5"/>
  <c r="B32" i="2" s="1"/>
  <c r="C32" i="5"/>
  <c r="C31" i="2" s="1"/>
  <c r="B32" i="5"/>
  <c r="B31" i="2" s="1"/>
  <c r="C31" i="5"/>
  <c r="C30" i="2" s="1"/>
  <c r="B31" i="5"/>
  <c r="B30" i="2" s="1"/>
  <c r="C30" i="5"/>
  <c r="C29" i="2" s="1"/>
  <c r="B30" i="5"/>
  <c r="B29" i="2" s="1"/>
  <c r="C29" i="5"/>
  <c r="C28" i="2" s="1"/>
  <c r="B29" i="5"/>
  <c r="B28" i="2" s="1"/>
  <c r="C28" i="5"/>
  <c r="C27" i="2" s="1"/>
  <c r="B28" i="5"/>
  <c r="B27" i="2" s="1"/>
  <c r="C27" i="5"/>
  <c r="C26" i="2" s="1"/>
  <c r="B27" i="5"/>
  <c r="B26" i="2" s="1"/>
  <c r="C26" i="5"/>
  <c r="C25" i="2" s="1"/>
  <c r="B26" i="5"/>
  <c r="B25" i="2" s="1"/>
  <c r="C25" i="5"/>
  <c r="C24" i="2" s="1"/>
  <c r="B25" i="5"/>
  <c r="B24" i="2" s="1"/>
  <c r="C24" i="5"/>
  <c r="C23" i="2" s="1"/>
  <c r="B24" i="5"/>
  <c r="B23" i="2" s="1"/>
  <c r="C23" i="5"/>
  <c r="C22" i="2" s="1"/>
  <c r="B23" i="5"/>
  <c r="B22" i="2" s="1"/>
  <c r="C22" i="5"/>
  <c r="C21" i="2" s="1"/>
  <c r="B22" i="5"/>
  <c r="B21" i="2" s="1"/>
  <c r="C21" i="5"/>
  <c r="C20" i="2" s="1"/>
  <c r="B21" i="5"/>
  <c r="B20" i="2" s="1"/>
  <c r="C20" i="5"/>
  <c r="C19" i="2" s="1"/>
  <c r="B20" i="5"/>
  <c r="B19" i="2" s="1"/>
  <c r="C19" i="5"/>
  <c r="C18" i="2" s="1"/>
  <c r="B19" i="5"/>
  <c r="B18" i="2" s="1"/>
  <c r="C18" i="5"/>
  <c r="C17" i="2" s="1"/>
  <c r="B18" i="5"/>
  <c r="B17" i="2" s="1"/>
  <c r="C17" i="5"/>
  <c r="C16" i="2" s="1"/>
  <c r="B17" i="5"/>
  <c r="B16" i="2" s="1"/>
  <c r="C16" i="5"/>
  <c r="C15" i="2" s="1"/>
  <c r="B16" i="5"/>
  <c r="B15" i="2" s="1"/>
  <c r="C15" i="5"/>
  <c r="C14" i="2" s="1"/>
  <c r="B15" i="5"/>
  <c r="B14" i="2" s="1"/>
  <c r="C14" i="5"/>
  <c r="C13" i="2" s="1"/>
  <c r="B14" i="5"/>
  <c r="B13" i="2" s="1"/>
  <c r="C5" i="2"/>
  <c r="C2" i="6" s="1"/>
  <c r="D25" i="7"/>
  <c r="D24" i="7"/>
  <c r="D23" i="7"/>
  <c r="D22" i="7"/>
  <c r="D21" i="7"/>
  <c r="D20" i="7"/>
  <c r="D19" i="7"/>
  <c r="D18" i="7"/>
  <c r="D17" i="7"/>
  <c r="D16" i="7"/>
  <c r="D15" i="7"/>
  <c r="D14" i="7"/>
  <c r="C25" i="7"/>
  <c r="I52" i="2" s="1"/>
  <c r="C24" i="7"/>
  <c r="I51" i="2" s="1"/>
  <c r="C23" i="7"/>
  <c r="I50" i="2" s="1"/>
  <c r="C22" i="7"/>
  <c r="I49" i="2" s="1"/>
  <c r="C21" i="7"/>
  <c r="I48" i="2" s="1"/>
  <c r="C20" i="7"/>
  <c r="I47" i="2" s="1"/>
  <c r="C19" i="7"/>
  <c r="I46" i="2" s="1"/>
  <c r="C18" i="7"/>
  <c r="I45" i="2" s="1"/>
  <c r="C17" i="7"/>
  <c r="I44" i="2" s="1"/>
  <c r="C16" i="7"/>
  <c r="I43" i="2" s="1"/>
  <c r="C15" i="7"/>
  <c r="C14" i="7"/>
  <c r="I41" i="2" s="1"/>
  <c r="E9" i="7"/>
  <c r="D33" i="7" s="1"/>
  <c r="F9" i="6"/>
  <c r="E37" i="6" s="1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J29" i="6"/>
  <c r="G56" i="2" s="1"/>
  <c r="J28" i="6"/>
  <c r="G55" i="2" s="1"/>
  <c r="J27" i="6"/>
  <c r="G54" i="2" s="1"/>
  <c r="J26" i="6"/>
  <c r="G53" i="2" s="1"/>
  <c r="J25" i="6"/>
  <c r="G52" i="2" s="1"/>
  <c r="J24" i="6"/>
  <c r="G51" i="2" s="1"/>
  <c r="J23" i="6"/>
  <c r="G50" i="2" s="1"/>
  <c r="J22" i="6"/>
  <c r="G49" i="2" s="1"/>
  <c r="J21" i="6"/>
  <c r="G48" i="2" s="1"/>
  <c r="J20" i="6"/>
  <c r="G47" i="2" s="1"/>
  <c r="J19" i="6"/>
  <c r="G46" i="2" s="1"/>
  <c r="J18" i="6"/>
  <c r="G45" i="2" s="1"/>
  <c r="J17" i="6"/>
  <c r="G44" i="2" s="1"/>
  <c r="J16" i="6"/>
  <c r="G43" i="2" s="1"/>
  <c r="J15" i="6"/>
  <c r="G42" i="2" s="1"/>
  <c r="J14" i="6"/>
  <c r="G41" i="2" s="1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E9" i="6"/>
  <c r="D37" i="6" s="1"/>
  <c r="E9" i="5"/>
  <c r="D46" i="5" s="1"/>
  <c r="C29" i="6"/>
  <c r="F56" i="2" s="1"/>
  <c r="C28" i="6"/>
  <c r="F55" i="2" s="1"/>
  <c r="C27" i="6"/>
  <c r="F54" i="2" s="1"/>
  <c r="C26" i="6"/>
  <c r="F53" i="2" s="1"/>
  <c r="C25" i="6"/>
  <c r="F52" i="2" s="1"/>
  <c r="C24" i="6"/>
  <c r="F51" i="2" s="1"/>
  <c r="C23" i="6"/>
  <c r="F50" i="2" s="1"/>
  <c r="C22" i="6"/>
  <c r="F49" i="2" s="1"/>
  <c r="C21" i="6"/>
  <c r="F48" i="2" s="1"/>
  <c r="C20" i="6"/>
  <c r="F47" i="2" s="1"/>
  <c r="C19" i="6"/>
  <c r="F46" i="2" s="1"/>
  <c r="C18" i="6"/>
  <c r="F45" i="2" s="1"/>
  <c r="C17" i="6"/>
  <c r="F44" i="2" s="1"/>
  <c r="C16" i="6"/>
  <c r="F43" i="2" s="1"/>
  <c r="C15" i="6"/>
  <c r="F42" i="2" s="1"/>
  <c r="C14" i="6"/>
  <c r="F41" i="2" s="1"/>
  <c r="E38" i="5"/>
  <c r="E37" i="5"/>
  <c r="E36" i="5"/>
  <c r="E35" i="5"/>
  <c r="E34" i="5"/>
  <c r="E33" i="5"/>
  <c r="E32" i="5"/>
  <c r="E31" i="5"/>
  <c r="F31" i="5" s="1"/>
  <c r="E30" i="5"/>
  <c r="E29" i="5"/>
  <c r="E28" i="5"/>
  <c r="E27" i="5"/>
  <c r="F27" i="5" s="1"/>
  <c r="E26" i="5"/>
  <c r="E25" i="5"/>
  <c r="E24" i="5"/>
  <c r="E23" i="5"/>
  <c r="F23" i="5" s="1"/>
  <c r="E22" i="5"/>
  <c r="E21" i="5"/>
  <c r="E20" i="5"/>
  <c r="E19" i="5"/>
  <c r="F19" i="5" s="1"/>
  <c r="E18" i="5"/>
  <c r="E17" i="5"/>
  <c r="E16" i="5"/>
  <c r="E15" i="5"/>
  <c r="F15" i="5" s="1"/>
  <c r="E14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C8" i="2"/>
  <c r="C5" i="7" s="1"/>
  <c r="F11" i="7" s="1"/>
  <c r="C7" i="2"/>
  <c r="C4" i="6" s="1"/>
  <c r="C6" i="2"/>
  <c r="G70" i="2" l="1"/>
  <c r="G69" i="2"/>
  <c r="G71" i="2"/>
  <c r="J15" i="7"/>
  <c r="I42" i="2"/>
  <c r="I71" i="2" s="1"/>
  <c r="K71" i="2"/>
  <c r="K70" i="2"/>
  <c r="K69" i="2"/>
  <c r="F71" i="2"/>
  <c r="F70" i="2"/>
  <c r="F69" i="2"/>
  <c r="C3" i="8"/>
  <c r="J8" i="2"/>
  <c r="M86" i="2"/>
  <c r="M87" i="2" s="1"/>
  <c r="M88" i="2" s="1"/>
  <c r="M89" i="2" s="1"/>
  <c r="M90" i="2" s="1"/>
  <c r="M91" i="2" s="1"/>
  <c r="M92" i="2" s="1"/>
  <c r="M93" i="2" s="1"/>
  <c r="C5" i="9"/>
  <c r="F11" i="9" s="1"/>
  <c r="C5" i="6"/>
  <c r="F11" i="6" s="1"/>
  <c r="M11" i="6" s="1"/>
  <c r="C2" i="9"/>
  <c r="C2" i="7"/>
  <c r="C4" i="9"/>
  <c r="C3" i="9"/>
  <c r="J14" i="7"/>
  <c r="F25" i="5"/>
  <c r="J16" i="7"/>
  <c r="D23" i="8"/>
  <c r="D25" i="8"/>
  <c r="D34" i="6"/>
  <c r="E35" i="6"/>
  <c r="D35" i="6"/>
  <c r="E33" i="6"/>
  <c r="D29" i="7"/>
  <c r="D24" i="8"/>
  <c r="F34" i="5"/>
  <c r="D30" i="7"/>
  <c r="R23" i="6"/>
  <c r="D33" i="6"/>
  <c r="E34" i="6"/>
  <c r="D31" i="7"/>
  <c r="H11" i="5"/>
  <c r="H38" i="5" s="1"/>
  <c r="D44" i="5"/>
  <c r="F17" i="5"/>
  <c r="J20" i="7"/>
  <c r="J24" i="7"/>
  <c r="F16" i="5"/>
  <c r="F20" i="5"/>
  <c r="F24" i="5"/>
  <c r="F28" i="5"/>
  <c r="F32" i="5"/>
  <c r="F36" i="5"/>
  <c r="J18" i="5"/>
  <c r="D42" i="5"/>
  <c r="F33" i="5"/>
  <c r="D43" i="5"/>
  <c r="F21" i="5"/>
  <c r="F29" i="5"/>
  <c r="F37" i="5"/>
  <c r="F14" i="5"/>
  <c r="F18" i="5"/>
  <c r="F26" i="5"/>
  <c r="F30" i="5"/>
  <c r="G14" i="9"/>
  <c r="E14" i="9"/>
  <c r="C3" i="6"/>
  <c r="C3" i="7"/>
  <c r="C4" i="5"/>
  <c r="C4" i="8"/>
  <c r="C5" i="5"/>
  <c r="G11" i="5" s="1"/>
  <c r="G15" i="5" s="1"/>
  <c r="C4" i="7"/>
  <c r="C5" i="8"/>
  <c r="F11" i="8" s="1"/>
  <c r="C2" i="5"/>
  <c r="C2" i="8"/>
  <c r="C3" i="5"/>
  <c r="J17" i="8"/>
  <c r="E16" i="8"/>
  <c r="E17" i="8"/>
  <c r="E14" i="8"/>
  <c r="J14" i="8"/>
  <c r="E18" i="8"/>
  <c r="J18" i="8"/>
  <c r="G15" i="8"/>
  <c r="G16" i="8"/>
  <c r="G18" i="8"/>
  <c r="G14" i="8"/>
  <c r="G17" i="8"/>
  <c r="G19" i="8"/>
  <c r="E15" i="8"/>
  <c r="J15" i="8"/>
  <c r="E19" i="8"/>
  <c r="J19" i="8"/>
  <c r="J16" i="8"/>
  <c r="J18" i="7"/>
  <c r="J22" i="7"/>
  <c r="J19" i="7"/>
  <c r="J23" i="7"/>
  <c r="J34" i="5"/>
  <c r="R28" i="6"/>
  <c r="R15" i="6"/>
  <c r="J17" i="7"/>
  <c r="J21" i="7"/>
  <c r="J25" i="7"/>
  <c r="Q28" i="6"/>
  <c r="R16" i="6"/>
  <c r="R24" i="6"/>
  <c r="R20" i="6"/>
  <c r="J36" i="5"/>
  <c r="J32" i="5"/>
  <c r="J20" i="5"/>
  <c r="G11" i="6"/>
  <c r="G20" i="6" s="1"/>
  <c r="L11" i="6"/>
  <c r="L18" i="6" s="1"/>
  <c r="M18" i="6" s="1"/>
  <c r="E17" i="6"/>
  <c r="E22" i="6"/>
  <c r="E28" i="6"/>
  <c r="Q20" i="6"/>
  <c r="J24" i="5"/>
  <c r="Q26" i="6"/>
  <c r="Q22" i="6"/>
  <c r="Q18" i="6"/>
  <c r="Q14" i="6"/>
  <c r="Q29" i="6"/>
  <c r="Q25" i="6"/>
  <c r="Q21" i="6"/>
  <c r="Q17" i="6"/>
  <c r="E18" i="6"/>
  <c r="E24" i="6"/>
  <c r="E29" i="6"/>
  <c r="F29" i="6" s="1"/>
  <c r="Q15" i="6"/>
  <c r="Q23" i="6"/>
  <c r="J14" i="5"/>
  <c r="J26" i="5"/>
  <c r="J15" i="5"/>
  <c r="J19" i="5"/>
  <c r="J23" i="5"/>
  <c r="J27" i="5"/>
  <c r="J31" i="5"/>
  <c r="J35" i="5"/>
  <c r="J22" i="5"/>
  <c r="J30" i="5"/>
  <c r="J38" i="5"/>
  <c r="E14" i="6"/>
  <c r="E20" i="6"/>
  <c r="E25" i="6"/>
  <c r="F25" i="6" s="1"/>
  <c r="Q16" i="6"/>
  <c r="Q24" i="6"/>
  <c r="F22" i="5"/>
  <c r="J16" i="5"/>
  <c r="J28" i="5"/>
  <c r="E16" i="6"/>
  <c r="E21" i="6"/>
  <c r="E26" i="6"/>
  <c r="F26" i="6" s="1"/>
  <c r="R26" i="6"/>
  <c r="R22" i="6"/>
  <c r="R18" i="6"/>
  <c r="R14" i="6"/>
  <c r="R29" i="6"/>
  <c r="R25" i="6"/>
  <c r="R21" i="6"/>
  <c r="R17" i="6"/>
  <c r="Q19" i="6"/>
  <c r="Q27" i="6"/>
  <c r="R19" i="6"/>
  <c r="R27" i="6"/>
  <c r="F35" i="5"/>
  <c r="E15" i="6"/>
  <c r="E19" i="6"/>
  <c r="E23" i="6"/>
  <c r="F23" i="6" s="1"/>
  <c r="E27" i="6"/>
  <c r="E23" i="7"/>
  <c r="F23" i="7" s="1"/>
  <c r="E15" i="7"/>
  <c r="F15" i="7" s="1"/>
  <c r="G11" i="7"/>
  <c r="G22" i="7" s="1"/>
  <c r="E17" i="7"/>
  <c r="F17" i="7" s="1"/>
  <c r="E19" i="7"/>
  <c r="F19" i="7" s="1"/>
  <c r="E25" i="7"/>
  <c r="F25" i="7" s="1"/>
  <c r="E14" i="7"/>
  <c r="F14" i="7" s="1"/>
  <c r="E16" i="7"/>
  <c r="F16" i="7" s="1"/>
  <c r="E22" i="7"/>
  <c r="F22" i="7" s="1"/>
  <c r="E24" i="7"/>
  <c r="F24" i="7" s="1"/>
  <c r="E18" i="7"/>
  <c r="F18" i="7" s="1"/>
  <c r="E20" i="7"/>
  <c r="F20" i="7" s="1"/>
  <c r="E21" i="7"/>
  <c r="F21" i="7" s="1"/>
  <c r="F38" i="5"/>
  <c r="J17" i="5"/>
  <c r="J21" i="5"/>
  <c r="J25" i="5"/>
  <c r="J29" i="5"/>
  <c r="J33" i="5"/>
  <c r="J37" i="5"/>
  <c r="H16" i="5"/>
  <c r="H33" i="5" l="1"/>
  <c r="H15" i="5"/>
  <c r="I15" i="5" s="1"/>
  <c r="D14" i="2" s="1"/>
  <c r="H26" i="5"/>
  <c r="H36" i="5"/>
  <c r="H29" i="5"/>
  <c r="I70" i="2"/>
  <c r="I69" i="2"/>
  <c r="H34" i="5"/>
  <c r="H35" i="5"/>
  <c r="H22" i="5"/>
  <c r="H23" i="5"/>
  <c r="H20" i="5"/>
  <c r="F15" i="6"/>
  <c r="F16" i="6"/>
  <c r="F14" i="6"/>
  <c r="F18" i="6"/>
  <c r="F22" i="6"/>
  <c r="F27" i="6"/>
  <c r="F16" i="8"/>
  <c r="H16" i="8" s="1"/>
  <c r="F14" i="9"/>
  <c r="H14" i="9" s="1"/>
  <c r="F17" i="6"/>
  <c r="F19" i="6"/>
  <c r="F21" i="6"/>
  <c r="F20" i="6"/>
  <c r="H20" i="6" s="1"/>
  <c r="F19" i="2" s="1"/>
  <c r="F24" i="6"/>
  <c r="F28" i="6"/>
  <c r="F19" i="8"/>
  <c r="H19" i="8" s="1"/>
  <c r="K18" i="2" s="1"/>
  <c r="F18" i="8"/>
  <c r="H18" i="8" s="1"/>
  <c r="K17" i="2" s="1"/>
  <c r="H37" i="5"/>
  <c r="H31" i="5"/>
  <c r="H32" i="5"/>
  <c r="H18" i="5"/>
  <c r="H21" i="5"/>
  <c r="H19" i="5"/>
  <c r="H28" i="5"/>
  <c r="H30" i="5"/>
  <c r="H14" i="5"/>
  <c r="H25" i="5"/>
  <c r="H27" i="5"/>
  <c r="H17" i="5"/>
  <c r="H24" i="5"/>
  <c r="L26" i="6"/>
  <c r="M26" i="6" s="1"/>
  <c r="G23" i="6"/>
  <c r="H23" i="6" s="1"/>
  <c r="F22" i="2" s="1"/>
  <c r="F14" i="8"/>
  <c r="H14" i="8" s="1"/>
  <c r="K13" i="2" s="1"/>
  <c r="F15" i="8"/>
  <c r="H15" i="8" s="1"/>
  <c r="K14" i="2" s="1"/>
  <c r="F17" i="8"/>
  <c r="H17" i="8" s="1"/>
  <c r="K16" i="2" s="1"/>
  <c r="G19" i="6"/>
  <c r="G28" i="6"/>
  <c r="L19" i="6"/>
  <c r="M19" i="6" s="1"/>
  <c r="L23" i="6"/>
  <c r="M23" i="6" s="1"/>
  <c r="L27" i="6"/>
  <c r="M27" i="6" s="1"/>
  <c r="L21" i="6"/>
  <c r="M21" i="6" s="1"/>
  <c r="L25" i="6"/>
  <c r="M25" i="6" s="1"/>
  <c r="L20" i="6"/>
  <c r="M20" i="6" s="1"/>
  <c r="L15" i="6"/>
  <c r="M15" i="6" s="1"/>
  <c r="L28" i="6"/>
  <c r="M28" i="6" s="1"/>
  <c r="L17" i="6"/>
  <c r="M17" i="6" s="1"/>
  <c r="N11" i="6"/>
  <c r="G18" i="6"/>
  <c r="G22" i="6"/>
  <c r="G17" i="6"/>
  <c r="G29" i="6"/>
  <c r="H29" i="6" s="1"/>
  <c r="F28" i="2" s="1"/>
  <c r="L24" i="6"/>
  <c r="M24" i="6" s="1"/>
  <c r="G16" i="6"/>
  <c r="L22" i="6"/>
  <c r="M22" i="6" s="1"/>
  <c r="L14" i="6"/>
  <c r="M14" i="6" s="1"/>
  <c r="G15" i="6"/>
  <c r="L16" i="6"/>
  <c r="M16" i="6" s="1"/>
  <c r="G25" i="6"/>
  <c r="H25" i="6" s="1"/>
  <c r="F24" i="2" s="1"/>
  <c r="G26" i="6"/>
  <c r="H26" i="6" s="1"/>
  <c r="F25" i="2" s="1"/>
  <c r="L29" i="6"/>
  <c r="M29" i="6" s="1"/>
  <c r="G27" i="6"/>
  <c r="G21" i="6"/>
  <c r="G24" i="6"/>
  <c r="G14" i="6"/>
  <c r="G15" i="7"/>
  <c r="H15" i="7" s="1"/>
  <c r="I14" i="2" s="1"/>
  <c r="G16" i="7"/>
  <c r="H16" i="7" s="1"/>
  <c r="I15" i="2" s="1"/>
  <c r="G17" i="7"/>
  <c r="H17" i="7" s="1"/>
  <c r="I16" i="2" s="1"/>
  <c r="G20" i="7"/>
  <c r="H20" i="7" s="1"/>
  <c r="I19" i="2" s="1"/>
  <c r="G23" i="7"/>
  <c r="H23" i="7" s="1"/>
  <c r="I22" i="2" s="1"/>
  <c r="H22" i="7"/>
  <c r="I21" i="2" s="1"/>
  <c r="G25" i="7"/>
  <c r="H25" i="7" s="1"/>
  <c r="G24" i="7"/>
  <c r="H24" i="7" s="1"/>
  <c r="I23" i="2" s="1"/>
  <c r="G19" i="7"/>
  <c r="H19" i="7" s="1"/>
  <c r="I18" i="2" s="1"/>
  <c r="G18" i="7"/>
  <c r="H18" i="7" s="1"/>
  <c r="I17" i="2" s="1"/>
  <c r="G21" i="7"/>
  <c r="H21" i="7" s="1"/>
  <c r="I20" i="2" s="1"/>
  <c r="G14" i="7"/>
  <c r="H14" i="7" s="1"/>
  <c r="I13" i="2" s="1"/>
  <c r="G18" i="5"/>
  <c r="G24" i="5"/>
  <c r="G34" i="5"/>
  <c r="G31" i="5"/>
  <c r="G29" i="5"/>
  <c r="G35" i="5"/>
  <c r="G30" i="5"/>
  <c r="G14" i="5"/>
  <c r="G25" i="5"/>
  <c r="G27" i="5"/>
  <c r="G28" i="5"/>
  <c r="G23" i="5"/>
  <c r="G26" i="5"/>
  <c r="G37" i="5"/>
  <c r="G21" i="5"/>
  <c r="G20" i="5"/>
  <c r="G32" i="5"/>
  <c r="G19" i="5"/>
  <c r="G38" i="5"/>
  <c r="I38" i="5" s="1"/>
  <c r="G22" i="5"/>
  <c r="G33" i="5"/>
  <c r="G17" i="5"/>
  <c r="G16" i="5"/>
  <c r="I16" i="5" s="1"/>
  <c r="D15" i="2" s="1"/>
  <c r="G36" i="5"/>
  <c r="I33" i="5" l="1"/>
  <c r="D32" i="2" s="1"/>
  <c r="I29" i="5"/>
  <c r="D28" i="2" s="1"/>
  <c r="I36" i="5"/>
  <c r="D35" i="2" s="1"/>
  <c r="I20" i="5"/>
  <c r="D19" i="2" s="1"/>
  <c r="I22" i="5"/>
  <c r="D21" i="2" s="1"/>
  <c r="I26" i="5"/>
  <c r="D25" i="2" s="1"/>
  <c r="I23" i="5"/>
  <c r="D22" i="2" s="1"/>
  <c r="I31" i="5"/>
  <c r="D30" i="2" s="1"/>
  <c r="I34" i="5"/>
  <c r="D33" i="2" s="1"/>
  <c r="I35" i="5"/>
  <c r="D34" i="2" s="1"/>
  <c r="I21" i="5"/>
  <c r="D20" i="2" s="1"/>
  <c r="I37" i="5"/>
  <c r="D36" i="2" s="1"/>
  <c r="I24" i="5"/>
  <c r="D23" i="2" s="1"/>
  <c r="I18" i="5"/>
  <c r="D17" i="2" s="1"/>
  <c r="K15" i="2"/>
  <c r="G79" i="2"/>
  <c r="G93" i="2" s="1"/>
  <c r="D37" i="2"/>
  <c r="C79" i="2"/>
  <c r="I24" i="2"/>
  <c r="F79" i="2"/>
  <c r="F93" i="2" s="1"/>
  <c r="H79" i="2"/>
  <c r="H93" i="2" s="1"/>
  <c r="L13" i="2"/>
  <c r="H15" i="6"/>
  <c r="F14" i="2" s="1"/>
  <c r="H27" i="6"/>
  <c r="F26" i="2" s="1"/>
  <c r="H16" i="6"/>
  <c r="F15" i="2" s="1"/>
  <c r="H14" i="6"/>
  <c r="F13" i="2" s="1"/>
  <c r="H18" i="6"/>
  <c r="F17" i="2" s="1"/>
  <c r="H17" i="6"/>
  <c r="F16" i="2" s="1"/>
  <c r="H22" i="6"/>
  <c r="I32" i="5"/>
  <c r="D31" i="2" s="1"/>
  <c r="H28" i="6"/>
  <c r="F27" i="2" s="1"/>
  <c r="H21" i="6"/>
  <c r="F20" i="2" s="1"/>
  <c r="H19" i="6"/>
  <c r="F18" i="2" s="1"/>
  <c r="H24" i="6"/>
  <c r="F23" i="2" s="1"/>
  <c r="I28" i="5"/>
  <c r="D27" i="2" s="1"/>
  <c r="I30" i="5"/>
  <c r="D29" i="2" s="1"/>
  <c r="I17" i="5"/>
  <c r="D16" i="2" s="1"/>
  <c r="I19" i="5"/>
  <c r="D18" i="2" s="1"/>
  <c r="I27" i="5"/>
  <c r="D26" i="2" s="1"/>
  <c r="I25" i="5"/>
  <c r="D24" i="2" s="1"/>
  <c r="I14" i="5"/>
  <c r="D37" i="7"/>
  <c r="D36" i="7"/>
  <c r="D35" i="7"/>
  <c r="D29" i="8"/>
  <c r="D30" i="8"/>
  <c r="D31" i="8"/>
  <c r="N27" i="6"/>
  <c r="O27" i="6" s="1"/>
  <c r="G26" i="2" s="1"/>
  <c r="N19" i="6"/>
  <c r="O19" i="6" s="1"/>
  <c r="G18" i="2" s="1"/>
  <c r="N23" i="6"/>
  <c r="O23" i="6" s="1"/>
  <c r="G22" i="2" s="1"/>
  <c r="N15" i="6"/>
  <c r="O15" i="6" s="1"/>
  <c r="G14" i="2" s="1"/>
  <c r="N28" i="6"/>
  <c r="O28" i="6" s="1"/>
  <c r="G27" i="2" s="1"/>
  <c r="N20" i="6"/>
  <c r="O20" i="6" s="1"/>
  <c r="G19" i="2" s="1"/>
  <c r="N25" i="6"/>
  <c r="O25" i="6" s="1"/>
  <c r="G24" i="2" s="1"/>
  <c r="N14" i="6"/>
  <c r="O14" i="6" s="1"/>
  <c r="G13" i="2" s="1"/>
  <c r="N22" i="6"/>
  <c r="O22" i="6" s="1"/>
  <c r="G21" i="2" s="1"/>
  <c r="N16" i="6"/>
  <c r="O16" i="6" s="1"/>
  <c r="G15" i="2" s="1"/>
  <c r="N29" i="6"/>
  <c r="O29" i="6" s="1"/>
  <c r="G28" i="2" s="1"/>
  <c r="N17" i="6"/>
  <c r="O17" i="6" s="1"/>
  <c r="G16" i="2" s="1"/>
  <c r="N18" i="6"/>
  <c r="O18" i="6" s="1"/>
  <c r="G17" i="2" s="1"/>
  <c r="N26" i="6"/>
  <c r="O26" i="6" s="1"/>
  <c r="G25" i="2" s="1"/>
  <c r="N21" i="6"/>
  <c r="O21" i="6" s="1"/>
  <c r="G20" i="2" s="1"/>
  <c r="N24" i="6"/>
  <c r="O24" i="6" s="1"/>
  <c r="G23" i="2" s="1"/>
  <c r="F21" i="2" l="1"/>
  <c r="D79" i="2"/>
  <c r="D83" i="2" s="1"/>
  <c r="H86" i="2"/>
  <c r="H88" i="2"/>
  <c r="H81" i="2"/>
  <c r="H91" i="2"/>
  <c r="H92" i="2"/>
  <c r="H89" i="2"/>
  <c r="H85" i="2"/>
  <c r="H83" i="2"/>
  <c r="H80" i="2"/>
  <c r="H84" i="2"/>
  <c r="H87" i="2"/>
  <c r="H82" i="2"/>
  <c r="H90" i="2"/>
  <c r="C93" i="2"/>
  <c r="D13" i="2"/>
  <c r="F83" i="2"/>
  <c r="G92" i="2"/>
  <c r="F90" i="2"/>
  <c r="E79" i="2"/>
  <c r="E89" i="2" s="1"/>
  <c r="G91" i="2"/>
  <c r="G87" i="2"/>
  <c r="G81" i="2"/>
  <c r="G84" i="2"/>
  <c r="G89" i="2"/>
  <c r="G88" i="2"/>
  <c r="F80" i="2"/>
  <c r="G80" i="2"/>
  <c r="G86" i="2"/>
  <c r="G85" i="2"/>
  <c r="F81" i="2"/>
  <c r="F92" i="2"/>
  <c r="F87" i="2"/>
  <c r="G82" i="2"/>
  <c r="G83" i="2"/>
  <c r="G90" i="2"/>
  <c r="F85" i="2"/>
  <c r="F82" i="2"/>
  <c r="F89" i="2"/>
  <c r="F84" i="2"/>
  <c r="F88" i="2"/>
  <c r="F86" i="2"/>
  <c r="F91" i="2"/>
  <c r="D39" i="6"/>
  <c r="D40" i="6"/>
  <c r="D41" i="6"/>
  <c r="D48" i="5"/>
  <c r="D49" i="5"/>
  <c r="D50" i="5"/>
  <c r="E41" i="6"/>
  <c r="E39" i="6"/>
  <c r="E40" i="6"/>
  <c r="C81" i="2" l="1"/>
  <c r="C92" i="2"/>
  <c r="C84" i="2"/>
  <c r="C86" i="2"/>
  <c r="C80" i="2"/>
  <c r="C85" i="2"/>
  <c r="C88" i="2"/>
  <c r="C83" i="2"/>
  <c r="C87" i="2"/>
  <c r="C82" i="2"/>
  <c r="C89" i="2"/>
  <c r="C91" i="2"/>
  <c r="C90" i="2"/>
  <c r="E93" i="2"/>
  <c r="I79" i="2"/>
  <c r="J79" i="2" s="1"/>
  <c r="D84" i="2"/>
  <c r="D91" i="2"/>
  <c r="D88" i="2"/>
  <c r="D85" i="2"/>
  <c r="D86" i="2"/>
  <c r="D82" i="2"/>
  <c r="D81" i="2"/>
  <c r="D89" i="2"/>
  <c r="I89" i="2" s="1"/>
  <c r="J89" i="2" s="1"/>
  <c r="L89" i="2" s="1"/>
  <c r="D87" i="2"/>
  <c r="D90" i="2"/>
  <c r="D93" i="2"/>
  <c r="D80" i="2"/>
  <c r="D92" i="2"/>
  <c r="E82" i="2"/>
  <c r="E80" i="2"/>
  <c r="E88" i="2"/>
  <c r="E91" i="2"/>
  <c r="E81" i="2"/>
  <c r="E86" i="2"/>
  <c r="E85" i="2"/>
  <c r="E84" i="2"/>
  <c r="E83" i="2"/>
  <c r="E90" i="2"/>
  <c r="E92" i="2"/>
  <c r="E87" i="2"/>
  <c r="I83" i="2" l="1"/>
  <c r="J83" i="2" s="1"/>
  <c r="L83" i="2" s="1"/>
  <c r="I93" i="2"/>
  <c r="J93" i="2" s="1"/>
  <c r="L93" i="2" s="1"/>
  <c r="I92" i="2"/>
  <c r="J92" i="2" s="1"/>
  <c r="L92" i="2" s="1"/>
  <c r="I91" i="2"/>
  <c r="J91" i="2" s="1"/>
  <c r="L91" i="2" s="1"/>
  <c r="I90" i="2"/>
  <c r="J90" i="2" s="1"/>
  <c r="L90" i="2" s="1"/>
  <c r="I88" i="2"/>
  <c r="J88" i="2" s="1"/>
  <c r="L88" i="2" s="1"/>
  <c r="I87" i="2"/>
  <c r="J87" i="2" s="1"/>
  <c r="L87" i="2" s="1"/>
  <c r="I86" i="2"/>
  <c r="J86" i="2" s="1"/>
  <c r="L86" i="2" s="1"/>
  <c r="I85" i="2"/>
  <c r="J85" i="2" s="1"/>
  <c r="L85" i="2" s="1"/>
  <c r="I84" i="2"/>
  <c r="J84" i="2" s="1"/>
  <c r="L84" i="2" s="1"/>
  <c r="I82" i="2"/>
  <c r="J82" i="2" s="1"/>
  <c r="L82" i="2" s="1"/>
  <c r="I81" i="2"/>
  <c r="J81" i="2" s="1"/>
  <c r="L81" i="2" s="1"/>
  <c r="I80" i="2"/>
  <c r="J80" i="2" s="1"/>
  <c r="L80" i="2" s="1"/>
  <c r="L94" i="2" l="1"/>
</calcChain>
</file>

<file path=xl/sharedStrings.xml><?xml version="1.0" encoding="utf-8"?>
<sst xmlns="http://schemas.openxmlformats.org/spreadsheetml/2006/main" count="731" uniqueCount="295">
  <si>
    <t>Rate Component</t>
  </si>
  <si>
    <t>Per Diem Amount</t>
  </si>
  <si>
    <t>PT</t>
  </si>
  <si>
    <t>OT</t>
  </si>
  <si>
    <t>SLP</t>
  </si>
  <si>
    <t>Nursing</t>
  </si>
  <si>
    <t>NTA</t>
  </si>
  <si>
    <t>Non-Case-Mix</t>
  </si>
  <si>
    <t>PDPM</t>
  </si>
  <si>
    <t>Group</t>
  </si>
  <si>
    <t>CMI</t>
  </si>
  <si>
    <t>Rate</t>
  </si>
  <si>
    <t>CMG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</si>
  <si>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</si>
  <si>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</si>
  <si>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</si>
  <si>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</si>
  <si>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</si>
  <si>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</si>
  <si>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</si>
  <si>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</si>
  <si>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</si>
  <si>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</si>
  <si>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</si>
  <si>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</si>
  <si>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</si>
  <si>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</si>
  <si>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G</t>
  </si>
  <si>
    <t>P</t>
  </si>
  <si>
    <t>Q</t>
  </si>
  <si>
    <t>R</t>
  </si>
  <si>
    <t>S</t>
  </si>
  <si>
    <t>U</t>
  </si>
  <si>
    <t>V</t>
  </si>
  <si>
    <t>W</t>
  </si>
  <si>
    <t>X</t>
  </si>
  <si>
    <t>Y</t>
  </si>
  <si>
    <t>T</t>
  </si>
  <si>
    <t>ES3</t>
  </si>
  <si>
    <t>ES2</t>
  </si>
  <si>
    <t>ES1</t>
  </si>
  <si>
    <t>HDE2</t>
  </si>
  <si>
    <t>HDE1</t>
  </si>
  <si>
    <t>HBC2</t>
  </si>
  <si>
    <t>HBC1</t>
  </si>
  <si>
    <t>LDE2</t>
  </si>
  <si>
    <t>LDE1</t>
  </si>
  <si>
    <t>LBC2</t>
  </si>
  <si>
    <t>LBC1</t>
  </si>
  <si>
    <t>CDE2</t>
  </si>
  <si>
    <t>CDE1</t>
  </si>
  <si>
    <t>CBC2</t>
  </si>
  <si>
    <t>CA2</t>
  </si>
  <si>
    <t>CBC1</t>
  </si>
  <si>
    <t>CA1</t>
  </si>
  <si>
    <t>BAB2</t>
  </si>
  <si>
    <t>BAB1</t>
  </si>
  <si>
    <t>PDE2</t>
  </si>
  <si>
    <t>PDE1</t>
  </si>
  <si>
    <t>PBC2</t>
  </si>
  <si>
    <t>PA2</t>
  </si>
  <si>
    <t>PBC1</t>
  </si>
  <si>
    <t>PA1</t>
  </si>
  <si>
    <t>Total</t>
  </si>
  <si>
    <t>FY 2020</t>
  </si>
  <si>
    <t>Labor</t>
  </si>
  <si>
    <t>Wage Index</t>
  </si>
  <si>
    <t>Non-Labor</t>
  </si>
  <si>
    <t>Adj. Rate</t>
  </si>
  <si>
    <t>Case-Mix</t>
  </si>
  <si>
    <t>State</t>
  </si>
  <si>
    <t>SC</t>
  </si>
  <si>
    <t>NC</t>
  </si>
  <si>
    <t>TN</t>
  </si>
  <si>
    <t>Massachusetts</t>
  </si>
  <si>
    <t>ND</t>
  </si>
  <si>
    <t>SD</t>
  </si>
  <si>
    <t>NE</t>
  </si>
  <si>
    <t>CBSA #</t>
  </si>
  <si>
    <t>Adj'd Labor</t>
  </si>
  <si>
    <t>Check</t>
  </si>
  <si>
    <t>S/B = 0)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</si>
  <si>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</si>
  <si>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</si>
  <si>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</si>
  <si>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</si>
  <si>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</si>
  <si>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</si>
  <si>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</si>
  <si>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</si>
  <si>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</si>
  <si>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</si>
  <si>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</si>
  <si>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</si>
  <si>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</si>
  <si>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TO</t>
  </si>
  <si>
    <t>TP</t>
  </si>
  <si>
    <t>SA</t>
  </si>
  <si>
    <t>SB</t>
  </si>
  <si>
    <t>SE</t>
  </si>
  <si>
    <t>SF</t>
  </si>
  <si>
    <t>SG</t>
  </si>
  <si>
    <t>SH</t>
  </si>
  <si>
    <t>SI</t>
  </si>
  <si>
    <t>SJ</t>
  </si>
  <si>
    <t>SK</t>
  </si>
  <si>
    <t>SL</t>
  </si>
  <si>
    <t>Clinical Category</t>
  </si>
  <si>
    <t>Major Joint Replacement or Spinal Surgery</t>
  </si>
  <si>
    <t>0-5</t>
  </si>
  <si>
    <t>6-9</t>
  </si>
  <si>
    <t>10-23</t>
  </si>
  <si>
    <t>Other Orthopedic</t>
  </si>
  <si>
    <t>Medical Management</t>
  </si>
  <si>
    <t>Non-Orthopedic Surgery and Acute Neurologic</t>
  </si>
  <si>
    <t>Section GG</t>
  </si>
  <si>
    <t>Function Score</t>
  </si>
  <si>
    <t>Extensive services</t>
  </si>
  <si>
    <t>Clinical conditions</t>
  </si>
  <si>
    <t>Depression</t>
  </si>
  <si>
    <t>Number of restorative nursing services</t>
  </si>
  <si>
    <t>GG- based function score</t>
  </si>
  <si>
    <t>Tracheostomy
&amp; Ventilator</t>
  </si>
  <si>
    <t>0-14</t>
  </si>
  <si>
    <t>Tracheostomy or Ventilator</t>
  </si>
  <si>
    <t>Infection</t>
  </si>
  <si>
    <t>HE2/HD2</t>
  </si>
  <si>
    <t>Serious medical
conditions e.g. comatose, septicemia, respiratory therapy</t>
  </si>
  <si>
    <t>Yes</t>
  </si>
  <si>
    <t>HE1/HD1</t>
  </si>
  <si>
    <t>No</t>
  </si>
  <si>
    <t>HC2/HB2</t>
  </si>
  <si>
    <t>6-14</t>
  </si>
  <si>
    <t>HC1/HB1</t>
  </si>
  <si>
    <t>LE2/LD2</t>
  </si>
  <si>
    <t>Serious medical conditions e.g. radiation therapy or dialysis</t>
  </si>
  <si>
    <t>LE1/LD1</t>
  </si>
  <si>
    <t>LC2/LB2</t>
  </si>
  <si>
    <t>LC1/LB1</t>
  </si>
  <si>
    <t>CE2/CD2</t>
  </si>
  <si>
    <t>Conditions requiring
complex medical care e.g. pneumonia, surgical wounds, burns</t>
  </si>
  <si>
    <t>CE1/CD1</t>
  </si>
  <si>
    <t>CC2/CB2</t>
  </si>
  <si>
    <t>15-16</t>
  </si>
  <si>
    <t>CC1/CB1</t>
  </si>
  <si>
    <t>BB2/BA2</t>
  </si>
  <si>
    <t>Behavioral or cognitive symptoms</t>
  </si>
  <si>
    <t>2 or more</t>
  </si>
  <si>
    <t>11-16</t>
  </si>
  <si>
    <t>BB1/BA1</t>
  </si>
  <si>
    <t>0-1</t>
  </si>
  <si>
    <t>PE2/PD2</t>
  </si>
  <si>
    <t>Assistance with daily
living and general supervision</t>
  </si>
  <si>
    <t>PE1/PD1</t>
  </si>
  <si>
    <t>PC2/PB2</t>
  </si>
  <si>
    <t>PC1/PB1</t>
  </si>
  <si>
    <t>RUG-IV</t>
  </si>
  <si>
    <t>Nursing RUG</t>
  </si>
  <si>
    <t>None</t>
  </si>
  <si>
    <t>Neither</t>
  </si>
  <si>
    <t>Either</t>
  </si>
  <si>
    <t>Both</t>
  </si>
  <si>
    <t>Any one</t>
  </si>
  <si>
    <t>Any two</t>
  </si>
  <si>
    <t>All three</t>
  </si>
  <si>
    <t>Presence of Acute Neurologic Condition,</t>
  </si>
  <si>
    <t>SLP-Related Comorbidity, or Cognitive Impairment</t>
  </si>
  <si>
    <t>Mechanically Altered Diet or</t>
  </si>
  <si>
    <t>Swallowing Disorder</t>
  </si>
  <si>
    <t>NA</t>
  </si>
  <si>
    <t>NB</t>
  </si>
  <si>
    <t>NF</t>
  </si>
  <si>
    <t>Non-CM</t>
  </si>
  <si>
    <t>Days 1-3</t>
  </si>
  <si>
    <t>Days 4-20</t>
  </si>
  <si>
    <t>Days 21-27</t>
  </si>
  <si>
    <t>Days 28-34</t>
  </si>
  <si>
    <t>Days 35-41</t>
  </si>
  <si>
    <t>Days 42-48</t>
  </si>
  <si>
    <t>Days 49-55</t>
  </si>
  <si>
    <t>PT &amp; OT decrease by 2% per week after the third week</t>
  </si>
  <si>
    <t>Non-Therapy Ancillary (NTA) is 300% for Days 1-3</t>
  </si>
  <si>
    <t>Base Rate</t>
  </si>
  <si>
    <t>Days 63-69</t>
  </si>
  <si>
    <t>Days 70-76</t>
  </si>
  <si>
    <t>Days 77-83</t>
  </si>
  <si>
    <t>Days 84-90</t>
  </si>
  <si>
    <t>Days 98-100</t>
  </si>
  <si>
    <t>High CMI</t>
  </si>
  <si>
    <t>Low CMI</t>
  </si>
  <si>
    <t>Average CMI</t>
  </si>
  <si>
    <t>Federal Rate/Base Rate</t>
  </si>
  <si>
    <t>High Payment</t>
  </si>
  <si>
    <t>Low Payment</t>
  </si>
  <si>
    <t>Average Payment</t>
  </si>
  <si>
    <t>PT &amp; OT decrease by 2% per week beginning in the third week</t>
  </si>
  <si>
    <t>Forecast Error</t>
  </si>
  <si>
    <t>Multifactor Productivity Adjustment (MFP)</t>
  </si>
  <si>
    <t>MFP Adjusted Market Basket Update</t>
  </si>
  <si>
    <t>Budget Neutrality Factor</t>
  </si>
  <si>
    <t>State Code</t>
  </si>
  <si>
    <t>Nonurban Area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</si>
  <si>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</si>
  <si>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</si>
  <si>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</si>
  <si>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</si>
  <si>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</si>
  <si>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</si>
  <si>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</si>
  <si>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</si>
  <si>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</si>
  <si>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</si>
  <si>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</si>
  <si>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</si>
  <si>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</si>
  <si>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</si>
  <si>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</si>
  <si>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</si>
  <si>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</si>
  <si>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</si>
  <si>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</si>
  <si>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</si>
  <si>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</si>
  <si>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</si>
  <si>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</si>
  <si>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</si>
  <si>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</si>
  <si>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</si>
  <si>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</si>
  <si>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</si>
  <si>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</si>
  <si>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</si>
  <si>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</si>
  <si>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</si>
  <si>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</si>
  <si>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</si>
  <si>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</si>
  <si>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>Puerto Rico1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</si>
  <si>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</si>
  <si>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</si>
  <si>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</si>
  <si>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</si>
  <si>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</si>
  <si>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</si>
  <si>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 Islands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</si>
  <si>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</si>
  <si>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</si>
  <si>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</si>
  <si>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</si>
  <si>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</si>
  <si>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 xml:space="preserve">Guam </t>
  </si>
  <si>
    <t>Rural Area</t>
  </si>
  <si>
    <t xml:space="preserve">Select group &gt;&gt;&gt; </t>
  </si>
  <si>
    <t>PT/OT is</t>
  </si>
  <si>
    <t>Reduced to</t>
  </si>
  <si>
    <t>PT/OT Case</t>
  </si>
  <si>
    <t>Mix Group</t>
  </si>
  <si>
    <t>SLP Case</t>
  </si>
  <si>
    <t>NTA Case</t>
  </si>
  <si>
    <t>AXIOM HEALTHCARE GROUP</t>
  </si>
  <si>
    <t>Days 91-97</t>
  </si>
  <si>
    <t>Days 56-62</t>
  </si>
  <si>
    <t>FY 2019</t>
  </si>
  <si>
    <t xml:space="preserve">  &lt;&lt;&lt;&lt;&lt;&lt;&lt; Select County/State</t>
  </si>
  <si>
    <t>Prior Year Wage Index</t>
  </si>
  <si>
    <t>Resident Name:</t>
  </si>
  <si>
    <t>High</t>
  </si>
  <si>
    <t>Average</t>
  </si>
  <si>
    <t>Low</t>
  </si>
  <si>
    <t>VBP</t>
  </si>
  <si>
    <t>Resident</t>
  </si>
  <si>
    <t>Factor</t>
  </si>
  <si>
    <t>Days</t>
  </si>
  <si>
    <t>Revenue</t>
  </si>
  <si>
    <t>FY 2021</t>
  </si>
  <si>
    <t>check:</t>
  </si>
  <si>
    <t>FY2020</t>
  </si>
  <si>
    <t>FY2021</t>
  </si>
  <si>
    <t>FY 2022</t>
  </si>
  <si>
    <t>FY2022</t>
  </si>
  <si>
    <t>FY 2023</t>
  </si>
  <si>
    <t>Market Basket Update</t>
  </si>
  <si>
    <t>FY2023</t>
  </si>
  <si>
    <t>FY2019</t>
  </si>
  <si>
    <t>FY2018</t>
  </si>
  <si>
    <t>TABLE 6:  PDPM Case-Mix Adjusted Federal Rates and Associated Indexes - RURAL</t>
  </si>
  <si>
    <t>TABLE 5:  PDPM Case-Mix Adjusted Federal Rates and Associated Indexes - URBAN</t>
  </si>
  <si>
    <t>FY 2024</t>
  </si>
  <si>
    <t>Calculations are based on Final Rule Corrections published in Federal Register Volume 88, No. 191 on October 4, 2023</t>
  </si>
  <si>
    <r>
      <t xml:space="preserve">PDPM </t>
    </r>
    <r>
      <rPr>
        <b/>
        <u/>
        <sz val="36"/>
        <color theme="1"/>
        <rFont val="Calibri"/>
        <family val="2"/>
        <scheme val="minor"/>
      </rPr>
      <t>RURAL</t>
    </r>
    <r>
      <rPr>
        <b/>
        <sz val="14"/>
        <color theme="1"/>
        <rFont val="Calibri"/>
        <family val="2"/>
        <scheme val="minor"/>
      </rPr>
      <t xml:space="preserve"> RATES (2024/2025)</t>
    </r>
  </si>
  <si>
    <t>FY 2025</t>
  </si>
  <si>
    <t>TABLE 3:  FY 2025 Unadjusted Federal Rate Per Diem - URBAN</t>
  </si>
  <si>
    <t>TABLE 4:  FY 2025 Unadjusted Federal Rate Per Diem - RURAL</t>
  </si>
  <si>
    <t>TABLE 20: Labor-Related Relative Importance</t>
  </si>
  <si>
    <t>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</si>
</sst>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0_);\(0\)"/>
    <numFmt numFmtId="166" formatCode="0.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0" fillId="0" borderId="0" xfId="0" applyNumberFormat="1"/>
    <xf numFmtId="2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center"/>
    </xf>
    <xf numFmtId="2" fontId="0" fillId="0" borderId="0" xfId="0" applyNumberFormat="1"/>
    <xf numFmtId="0" fontId="3" fillId="0" borderId="0" xfId="0" applyFont="1"/>
    <xf numFmtId="0" fontId="0" fillId="0" borderId="0" xfId="2" applyFont="1"/>
    <xf numFmtId="0" fontId="1" fillId="0" borderId="0" xfId="2"/>
    <xf numFmtId="164" fontId="0" fillId="0" borderId="0" xfId="3" applyNumberFormat="1" applyFont="1"/>
    <xf numFmtId="164" fontId="0" fillId="0" borderId="0" xfId="1" applyNumberFormat="1" applyFont="1"/>
    <xf numFmtId="165" fontId="0" fillId="0" borderId="0" xfId="1" applyNumberFormat="1" applyFont="1"/>
    <xf numFmtId="0" fontId="4" fillId="0" borderId="0" xfId="0" applyFont="1"/>
    <xf numFmtId="164" fontId="0" fillId="0" borderId="0" xfId="0" applyNumberForma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0" fillId="0" borderId="4" xfId="0" applyBorder="1"/>
    <xf numFmtId="2" fontId="0" fillId="0" borderId="1" xfId="0" applyNumberFormat="1" applyBorder="1"/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hidden="1"/>
    </xf>
    <xf numFmtId="2" fontId="0" fillId="0" borderId="1" xfId="0" applyNumberFormat="1" applyBorder="1" applyProtection="1">
      <protection hidden="1"/>
    </xf>
    <xf numFmtId="2" fontId="2" fillId="2" borderId="1" xfId="0" applyNumberFormat="1" applyFont="1" applyFill="1" applyBorder="1" applyProtection="1">
      <protection hidden="1"/>
    </xf>
    <xf numFmtId="2" fontId="3" fillId="0" borderId="1" xfId="0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165" fontId="0" fillId="0" borderId="0" xfId="1" applyNumberFormat="1" applyFont="1" applyProtection="1">
      <protection hidden="1"/>
    </xf>
    <xf numFmtId="164" fontId="0" fillId="0" borderId="0" xfId="1" applyNumberFormat="1" applyFo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8" xfId="0" applyBorder="1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2" fontId="4" fillId="0" borderId="0" xfId="0" applyNumberFormat="1" applyFont="1" applyProtection="1">
      <protection hidden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6" fontId="8" fillId="2" borderId="11" xfId="0" applyNumberFormat="1" applyFont="1" applyFill="1" applyBorder="1" applyAlignment="1" applyProtection="1">
      <alignment horizontal="center" wrapText="1"/>
      <protection locked="0"/>
    </xf>
    <xf numFmtId="1" fontId="8" fillId="2" borderId="11" xfId="0" applyNumberFormat="1" applyFont="1" applyFill="1" applyBorder="1" applyAlignment="1" applyProtection="1">
      <alignment horizontal="center" wrapText="1"/>
      <protection locked="0"/>
    </xf>
    <xf numFmtId="4" fontId="0" fillId="0" borderId="1" xfId="0" applyNumberFormat="1" applyBorder="1" applyProtection="1">
      <protection hidden="1"/>
    </xf>
    <xf numFmtId="4" fontId="0" fillId="0" borderId="0" xfId="0" applyNumberFormat="1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43" fontId="0" fillId="0" borderId="0" xfId="0" applyNumberFormat="1"/>
    <xf numFmtId="10" fontId="0" fillId="0" borderId="0" xfId="4" applyNumberFormat="1" applyFont="1"/>
    <xf numFmtId="9" fontId="0" fillId="0" borderId="0" xfId="0" applyNumberFormat="1"/>
    <xf numFmtId="164" fontId="1" fillId="0" borderId="0" xfId="1" applyNumberFormat="1"/>
    <xf numFmtId="0" fontId="6" fillId="0" borderId="0" xfId="0" applyFont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3" xfId="2" xr:uid="{00000000-0005-0000-0000-000003000000}"/>
    <cellStyle name="Percent" xfId="4" builtinId="5"/>
  </cellStyles>
  <dxfs count="5"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B4" fmlaRange="'Wage Index'!$A$1:$A$51" noThreeD="1" sel="6" val="0"/>
</file>

<file path=xl/ctrlProps/ctrlProp2.xml><?xml version="1.0" encoding="utf-8"?>
<formControlPr xmlns="http://schemas.microsoft.com/office/spreadsheetml/2009/9/main" objectType="Drop" dropStyle="combo" dx="16" fmlaLink="C78" fmlaRange="Nursing!$C$14:$C$38" noThreeD="1" sel="25" val="17"/>
</file>

<file path=xl/ctrlProps/ctrlProp3.xml><?xml version="1.0" encoding="utf-8"?>
<formControlPr xmlns="http://schemas.microsoft.com/office/spreadsheetml/2009/9/main" objectType="Drop" dropStyle="combo" dx="16" fmlaLink="D78" fmlaRange="'PT &amp; OT'!$B$14:$B$29" noThreeD="1" sel="9" val="8"/>
</file>

<file path=xl/ctrlProps/ctrlProp4.xml><?xml version="1.0" encoding="utf-8"?>
<formControlPr xmlns="http://schemas.microsoft.com/office/spreadsheetml/2009/9/main" objectType="Drop" dropStyle="combo" dx="16" fmlaLink="F78" fmlaRange="SLP!$B$14:$B$25" noThreeD="1" sel="12" val="4"/>
</file>

<file path=xl/ctrlProps/ctrlProp5.xml><?xml version="1.0" encoding="utf-8"?>
<formControlPr xmlns="http://schemas.microsoft.com/office/spreadsheetml/2009/9/main" objectType="Drop" dropStyle="combo" dx="16" fmlaLink="G78" fmlaRange="NTA!$B$14:$B$19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152400</xdr:rowOff>
        </xdr:from>
        <xdr:to>
          <xdr:col>3</xdr:col>
          <xdr:colOff>628650</xdr:colOff>
          <xdr:row>5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657225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900" cy="8763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76</xdr:row>
          <xdr:rowOff>171450</xdr:rowOff>
        </xdr:from>
        <xdr:to>
          <xdr:col>3</xdr:col>
          <xdr:colOff>9525</xdr:colOff>
          <xdr:row>78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171450</xdr:rowOff>
        </xdr:from>
        <xdr:to>
          <xdr:col>4</xdr:col>
          <xdr:colOff>0</xdr:colOff>
          <xdr:row>78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161925</xdr:rowOff>
        </xdr:from>
        <xdr:to>
          <xdr:col>6</xdr:col>
          <xdr:colOff>0</xdr:colOff>
          <xdr:row>78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76</xdr:row>
          <xdr:rowOff>161925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95"/>
  <sheetViews>
    <sheetView showGridLines="0" tabSelected="1" zoomScaleNormal="100" workbookViewId="0">
      <selection activeCell="I36" sqref="I36"/>
    </sheetView>
  </sheetViews>
  <sheetFormatPr defaultRowHeight="15" x14ac:dyDescent="0.25"/>
  <cols>
    <col min="1" max="1" width="2.7109375" customWidth="1"/>
    <col min="2" max="2" width="15.140625" customWidth="1"/>
    <col min="3" max="3" width="11.7109375" customWidth="1"/>
    <col min="4" max="17" width="10.7109375" customWidth="1"/>
    <col min="18" max="18" width="11.28515625" bestFit="1" customWidth="1"/>
  </cols>
  <sheetData>
    <row r="1" spans="2:12" ht="18.75" x14ac:dyDescent="0.3">
      <c r="B1" s="65" t="s">
        <v>259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2:12" ht="46.5" x14ac:dyDescent="0.7">
      <c r="B2" s="65" t="s">
        <v>289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2:12" x14ac:dyDescent="0.25">
      <c r="B4" s="27">
        <v>6</v>
      </c>
      <c r="C4" s="19"/>
      <c r="D4" s="19"/>
      <c r="E4" s="19"/>
    </row>
    <row r="5" spans="2:12" x14ac:dyDescent="0.25">
      <c r="B5" s="28" t="s">
        <v>70</v>
      </c>
      <c r="C5" s="37" t="str">
        <f>INDEX('Wage Index'!$A$1:$D$51,$B$4,1)</f>
        <v xml:space="preserve">California </v>
      </c>
      <c r="D5" s="38"/>
      <c r="E5" s="39" t="s">
        <v>263</v>
      </c>
      <c r="F5" s="28"/>
      <c r="G5" s="28"/>
      <c r="H5" s="28"/>
      <c r="I5" s="28"/>
      <c r="J5" s="28"/>
      <c r="K5" s="28"/>
      <c r="L5" s="28"/>
    </row>
    <row r="6" spans="2:12" x14ac:dyDescent="0.25">
      <c r="B6" s="28" t="s">
        <v>78</v>
      </c>
      <c r="C6" s="40">
        <f>INDEX('Wage Index'!$A$1:$D$51,$B$4,2)</f>
        <v>5</v>
      </c>
      <c r="D6" s="28"/>
      <c r="E6" s="28"/>
      <c r="F6" s="28"/>
      <c r="G6" s="28"/>
      <c r="H6" s="28"/>
      <c r="I6" s="28"/>
      <c r="J6" s="28"/>
      <c r="K6" s="28"/>
      <c r="L6" s="28"/>
    </row>
    <row r="7" spans="2:12" x14ac:dyDescent="0.25">
      <c r="B7" s="28" t="s">
        <v>251</v>
      </c>
      <c r="C7" s="28" t="str">
        <f>INDEX('Wage Index'!$A$1:$D$51,$B$4,3)</f>
        <v xml:space="preserve">California </v>
      </c>
      <c r="D7" s="28"/>
      <c r="E7" s="28"/>
      <c r="F7" s="28"/>
      <c r="G7" s="28"/>
      <c r="H7" s="28"/>
      <c r="I7" s="28"/>
      <c r="J7" s="28"/>
      <c r="K7" s="28"/>
      <c r="L7" s="28"/>
    </row>
    <row r="8" spans="2:12" x14ac:dyDescent="0.25">
      <c r="B8" s="28" t="s">
        <v>66</v>
      </c>
      <c r="C8" s="41">
        <f>INDEX('Wage Index'!$A$1:$D$51,$B$4,4)</f>
        <v>1.2602</v>
      </c>
      <c r="D8" s="28"/>
      <c r="E8" s="28"/>
      <c r="F8" s="28"/>
      <c r="G8" s="28"/>
      <c r="H8" s="28" t="s">
        <v>264</v>
      </c>
      <c r="I8" s="28"/>
      <c r="J8" s="28">
        <f>VLOOKUP(C6,'Wage Index'!B2:G51,4,FALSE)</f>
        <v>1.2645</v>
      </c>
      <c r="K8" s="28"/>
      <c r="L8" s="28"/>
    </row>
    <row r="9" spans="2:12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2:12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2:12" x14ac:dyDescent="0.25">
      <c r="B11" s="42" t="s">
        <v>8</v>
      </c>
      <c r="C11" s="42" t="str">
        <f>+Nursing!C12</f>
        <v>Nursing</v>
      </c>
      <c r="D11" s="42" t="str">
        <f>+Nursing!I12</f>
        <v>Total</v>
      </c>
      <c r="E11" s="42" t="s">
        <v>255</v>
      </c>
      <c r="F11" s="42" t="str">
        <f>+'PT &amp; OT'!H12</f>
        <v>PT</v>
      </c>
      <c r="G11" s="42" t="str">
        <f>+'PT &amp; OT'!O12</f>
        <v>OT</v>
      </c>
      <c r="H11" s="42" t="s">
        <v>257</v>
      </c>
      <c r="I11" s="42" t="str">
        <f>+SLP!H12</f>
        <v>SLP</v>
      </c>
      <c r="J11" s="42" t="s">
        <v>258</v>
      </c>
      <c r="K11" s="42" t="str">
        <f>+NTA!H12</f>
        <v>NTA</v>
      </c>
      <c r="L11" s="42" t="str">
        <f>+'Non-Case Mix'!H12</f>
        <v>Non-CM</v>
      </c>
    </row>
    <row r="12" spans="2:12" x14ac:dyDescent="0.25">
      <c r="B12" s="43" t="s">
        <v>9</v>
      </c>
      <c r="C12" s="43" t="str">
        <f>+Nursing!C13</f>
        <v>CMG</v>
      </c>
      <c r="D12" s="43" t="str">
        <f>+Nursing!I13</f>
        <v>Nursing</v>
      </c>
      <c r="E12" s="43" t="s">
        <v>256</v>
      </c>
      <c r="F12" s="43" t="str">
        <f>+'PT &amp; OT'!H13</f>
        <v>Total</v>
      </c>
      <c r="G12" s="43" t="str">
        <f>+'PT &amp; OT'!O13</f>
        <v>Total</v>
      </c>
      <c r="H12" s="43" t="s">
        <v>256</v>
      </c>
      <c r="I12" s="43" t="str">
        <f>+SLP!H13</f>
        <v>Total</v>
      </c>
      <c r="J12" s="43" t="s">
        <v>256</v>
      </c>
      <c r="K12" s="43" t="str">
        <f>+NTA!H13</f>
        <v>Total</v>
      </c>
      <c r="L12" s="43" t="str">
        <f>+'Non-Case Mix'!H13</f>
        <v>Total</v>
      </c>
    </row>
    <row r="13" spans="2:12" x14ac:dyDescent="0.25">
      <c r="B13" s="44" t="str">
        <f>+Nursing!B14</f>
        <v>A</v>
      </c>
      <c r="C13" s="45" t="str">
        <f>+Nursing!C14</f>
        <v>ES3</v>
      </c>
      <c r="D13" s="46">
        <f>+Nursing!I14</f>
        <v>556.20000000000005</v>
      </c>
      <c r="E13" s="47" t="str">
        <f>+'PT &amp; OT'!B14</f>
        <v>TA</v>
      </c>
      <c r="F13" s="47">
        <f>+'PT &amp; OT'!H14</f>
        <v>143.76</v>
      </c>
      <c r="G13" s="47">
        <f>+'PT &amp; OT'!O14</f>
        <v>128.38999999999999</v>
      </c>
      <c r="H13" s="47" t="str">
        <f>+SLP!B14</f>
        <v>SA</v>
      </c>
      <c r="I13" s="47">
        <f>+SLP!H14</f>
        <v>26.18</v>
      </c>
      <c r="J13" s="47" t="str">
        <f>+NTA!B14</f>
        <v>NA</v>
      </c>
      <c r="K13" s="47">
        <f>+NTA!H14</f>
        <v>334.37</v>
      </c>
      <c r="L13" s="47">
        <f>+'Non-Case Mix'!H14</f>
        <v>138.28</v>
      </c>
    </row>
    <row r="14" spans="2:12" x14ac:dyDescent="0.25">
      <c r="B14" s="44" t="str">
        <f>+Nursing!B15</f>
        <v>B</v>
      </c>
      <c r="C14" s="45" t="str">
        <f>+Nursing!C15</f>
        <v>ES2</v>
      </c>
      <c r="D14" s="46">
        <f>+Nursing!I15</f>
        <v>420.05</v>
      </c>
      <c r="E14" s="47" t="str">
        <f>+'PT &amp; OT'!B15</f>
        <v>TB</v>
      </c>
      <c r="F14" s="47">
        <f>+'PT &amp; OT'!H15</f>
        <v>159.63</v>
      </c>
      <c r="G14" s="47">
        <f>+'PT &amp; OT'!O15</f>
        <v>140.22</v>
      </c>
      <c r="H14" s="47" t="str">
        <f>+SLP!B15</f>
        <v>SB</v>
      </c>
      <c r="I14" s="47">
        <f>+SLP!H15</f>
        <v>70.37</v>
      </c>
      <c r="J14" s="47" t="str">
        <f>+NTA!B15</f>
        <v>NB</v>
      </c>
      <c r="K14" s="47">
        <f>+NTA!H15</f>
        <v>261.15999999999997</v>
      </c>
      <c r="L14" s="28"/>
    </row>
    <row r="15" spans="2:12" x14ac:dyDescent="0.25">
      <c r="B15" s="44" t="str">
        <f>+Nursing!B16</f>
        <v>C</v>
      </c>
      <c r="C15" s="45" t="str">
        <f>+Nursing!C16</f>
        <v>ES1</v>
      </c>
      <c r="D15" s="46">
        <f>+Nursing!I16</f>
        <v>401.22</v>
      </c>
      <c r="E15" s="47" t="str">
        <f>+'PT &amp; OT'!B16</f>
        <v>TC</v>
      </c>
      <c r="F15" s="47">
        <f>+'PT &amp; OT'!H16</f>
        <v>176.47</v>
      </c>
      <c r="G15" s="47">
        <f>+'PT &amp; OT'!O16</f>
        <v>145.69</v>
      </c>
      <c r="H15" s="47" t="str">
        <f>+SLP!B16</f>
        <v>SC</v>
      </c>
      <c r="I15" s="47">
        <f>+SLP!H16</f>
        <v>103.11000000000001</v>
      </c>
      <c r="J15" s="47" t="str">
        <f>+NTA!B16</f>
        <v>NC</v>
      </c>
      <c r="K15" s="47">
        <f>+NTA!H16</f>
        <v>190.13</v>
      </c>
      <c r="L15" s="28"/>
    </row>
    <row r="16" spans="2:12" x14ac:dyDescent="0.25">
      <c r="B16" s="44" t="str">
        <f>+Nursing!B17</f>
        <v>D</v>
      </c>
      <c r="C16" s="45" t="str">
        <f>+Nursing!C17</f>
        <v>HDE2</v>
      </c>
      <c r="D16" s="46">
        <f>+Nursing!I17</f>
        <v>328.8</v>
      </c>
      <c r="E16" s="47" t="str">
        <f>+'PT &amp; OT'!B17</f>
        <v>TD</v>
      </c>
      <c r="F16" s="47">
        <f>+'PT &amp; OT'!H17</f>
        <v>179.45</v>
      </c>
      <c r="G16" s="47">
        <f>+'PT &amp; OT'!O17</f>
        <v>132.03</v>
      </c>
      <c r="H16" s="47" t="str">
        <f>+SLP!B17</f>
        <v>SD</v>
      </c>
      <c r="I16" s="47">
        <f>+SLP!H17</f>
        <v>56.46</v>
      </c>
      <c r="J16" s="47" t="str">
        <f>+NTA!B17</f>
        <v>ND</v>
      </c>
      <c r="K16" s="47">
        <f>+NTA!H17</f>
        <v>137.68</v>
      </c>
      <c r="L16" s="28"/>
    </row>
    <row r="17" spans="2:12" x14ac:dyDescent="0.25">
      <c r="B17" s="44" t="str">
        <f>+Nursing!B18</f>
        <v>E</v>
      </c>
      <c r="C17" s="45" t="str">
        <f>+Nursing!C18</f>
        <v>HDE1</v>
      </c>
      <c r="D17" s="46">
        <f>+Nursing!I18</f>
        <v>272.3</v>
      </c>
      <c r="E17" s="47" t="str">
        <f>+'PT &amp; OT'!B18</f>
        <v>TE</v>
      </c>
      <c r="F17" s="47">
        <f>+'PT &amp; OT'!H18</f>
        <v>132.85</v>
      </c>
      <c r="G17" s="47">
        <f>+'PT &amp; OT'!O18</f>
        <v>121.11</v>
      </c>
      <c r="H17" s="47" t="str">
        <f>+SLP!B18</f>
        <v>SE</v>
      </c>
      <c r="I17" s="47">
        <f>+SLP!H18</f>
        <v>90.43</v>
      </c>
      <c r="J17" s="47" t="str">
        <f>+NTA!B18</f>
        <v>NE</v>
      </c>
      <c r="K17" s="47">
        <f>+NTA!H18</f>
        <v>99.44</v>
      </c>
      <c r="L17" s="28"/>
    </row>
    <row r="18" spans="2:12" x14ac:dyDescent="0.25">
      <c r="B18" s="44" t="str">
        <f>+Nursing!B19</f>
        <v>F</v>
      </c>
      <c r="C18" s="45" t="str">
        <f>+Nursing!C19</f>
        <v>HBC2</v>
      </c>
      <c r="D18" s="46">
        <f>+Nursing!I19</f>
        <v>307.07</v>
      </c>
      <c r="E18" s="47" t="str">
        <f>+'PT &amp; OT'!B19</f>
        <v>TF</v>
      </c>
      <c r="F18" s="47">
        <f>+'PT &amp; OT'!H19</f>
        <v>150.69999999999999</v>
      </c>
      <c r="G18" s="47">
        <f>+'PT &amp; OT'!O19</f>
        <v>137.5</v>
      </c>
      <c r="H18" s="47" t="str">
        <f>+SLP!B19</f>
        <v>SF</v>
      </c>
      <c r="I18" s="47">
        <f>+SLP!H19</f>
        <v>115.39000000000001</v>
      </c>
      <c r="J18" s="47" t="str">
        <f>+NTA!B19</f>
        <v>NF</v>
      </c>
      <c r="K18" s="47">
        <f>+NTA!H19</f>
        <v>74.3</v>
      </c>
      <c r="L18" s="28"/>
    </row>
    <row r="19" spans="2:12" x14ac:dyDescent="0.25">
      <c r="B19" s="44" t="str">
        <f>+Nursing!B20</f>
        <v>G</v>
      </c>
      <c r="C19" s="45" t="str">
        <f>+Nursing!C20</f>
        <v>HBC1</v>
      </c>
      <c r="D19" s="46">
        <f>+Nursing!I20</f>
        <v>254.92000000000002</v>
      </c>
      <c r="E19" s="47" t="str">
        <f>+'PT &amp; OT'!B20</f>
        <v>TG</v>
      </c>
      <c r="F19" s="47">
        <f>+'PT &amp; OT'!H20</f>
        <v>156.64999999999998</v>
      </c>
      <c r="G19" s="47">
        <f>+'PT &amp; OT'!O20</f>
        <v>141.13999999999999</v>
      </c>
      <c r="H19" s="47" t="str">
        <f>+SLP!B20</f>
        <v>SG</v>
      </c>
      <c r="I19" s="47">
        <f>+SLP!H20</f>
        <v>78.97</v>
      </c>
      <c r="J19" s="28"/>
      <c r="K19" s="28"/>
      <c r="L19" s="28"/>
    </row>
    <row r="20" spans="2:12" x14ac:dyDescent="0.25">
      <c r="B20" s="44" t="str">
        <f>+Nursing!B21</f>
        <v>H</v>
      </c>
      <c r="C20" s="45" t="str">
        <f>+Nursing!C21</f>
        <v>LDE2</v>
      </c>
      <c r="D20" s="46">
        <f>+Nursing!I21</f>
        <v>285.34000000000003</v>
      </c>
      <c r="E20" s="47" t="str">
        <f>+'PT &amp; OT'!B21</f>
        <v>TH</v>
      </c>
      <c r="F20" s="47">
        <f>+'PT &amp; OT'!H21</f>
        <v>109.06</v>
      </c>
      <c r="G20" s="47">
        <f>+'PT &amp; OT'!O21</f>
        <v>99.25</v>
      </c>
      <c r="H20" s="47" t="str">
        <f>+SLP!B21</f>
        <v>SH</v>
      </c>
      <c r="I20" s="47">
        <f>+SLP!H21</f>
        <v>110.47</v>
      </c>
      <c r="J20" s="28"/>
      <c r="K20" s="28"/>
      <c r="L20" s="28"/>
    </row>
    <row r="21" spans="2:12" x14ac:dyDescent="0.25">
      <c r="B21" s="44" t="str">
        <f>+Nursing!B22</f>
        <v>I</v>
      </c>
      <c r="C21" s="45" t="str">
        <f>+Nursing!C22</f>
        <v>LDE1</v>
      </c>
      <c r="D21" s="46">
        <f>+Nursing!I22</f>
        <v>237.54000000000002</v>
      </c>
      <c r="E21" s="47" t="str">
        <f>+'PT &amp; OT'!B22</f>
        <v>TI</v>
      </c>
      <c r="F21" s="47">
        <f>+'PT &amp; OT'!H22</f>
        <v>106.08999999999999</v>
      </c>
      <c r="G21" s="47">
        <f>+'PT &amp; OT'!O22</f>
        <v>101.98</v>
      </c>
      <c r="H21" s="47" t="str">
        <f>+SLP!B22</f>
        <v>SI</v>
      </c>
      <c r="I21" s="47">
        <f>+SLP!H22</f>
        <v>136.66</v>
      </c>
      <c r="J21" s="28"/>
      <c r="K21" s="28"/>
      <c r="L21" s="28"/>
    </row>
    <row r="22" spans="2:12" x14ac:dyDescent="0.25">
      <c r="B22" s="44" t="str">
        <f>+Nursing!B23</f>
        <v>J</v>
      </c>
      <c r="C22" s="45" t="str">
        <f>+Nursing!C23</f>
        <v>LBC2</v>
      </c>
      <c r="D22" s="46">
        <f>+Nursing!I23</f>
        <v>236.09</v>
      </c>
      <c r="E22" s="47" t="str">
        <f>+'PT &amp; OT'!B23</f>
        <v>TJ</v>
      </c>
      <c r="F22" s="47">
        <f>+'PT &amp; OT'!H23</f>
        <v>132.85</v>
      </c>
      <c r="G22" s="47">
        <f>+'PT &amp; OT'!O23</f>
        <v>124.75</v>
      </c>
      <c r="H22" s="47" t="str">
        <f>+SLP!B23</f>
        <v>SJ</v>
      </c>
      <c r="I22" s="47">
        <f>+SLP!H23</f>
        <v>115.79</v>
      </c>
      <c r="J22" s="28"/>
      <c r="K22" s="28"/>
      <c r="L22" s="28"/>
    </row>
    <row r="23" spans="2:12" x14ac:dyDescent="0.25">
      <c r="B23" s="44" t="str">
        <f>+Nursing!B24</f>
        <v>K</v>
      </c>
      <c r="C23" s="45" t="str">
        <f>+Nursing!C24</f>
        <v>LBC1</v>
      </c>
      <c r="D23" s="46">
        <f>+Nursing!I24</f>
        <v>195.54000000000002</v>
      </c>
      <c r="E23" s="47" t="str">
        <f>+'PT &amp; OT'!B24</f>
        <v>TK</v>
      </c>
      <c r="F23" s="47">
        <f>+'PT &amp; OT'!H24</f>
        <v>142.76999999999998</v>
      </c>
      <c r="G23" s="47">
        <f>+'PT &amp; OT'!O24</f>
        <v>132.94999999999999</v>
      </c>
      <c r="H23" s="47" t="str">
        <f>+SLP!B24</f>
        <v>SK</v>
      </c>
      <c r="I23" s="47">
        <f>+SLP!H24</f>
        <v>143.21</v>
      </c>
      <c r="J23" s="28"/>
      <c r="K23" s="28"/>
      <c r="L23" s="28"/>
    </row>
    <row r="24" spans="2:12" x14ac:dyDescent="0.25">
      <c r="B24" s="44" t="str">
        <f>+Nursing!B25</f>
        <v>L</v>
      </c>
      <c r="C24" s="45" t="str">
        <f>+Nursing!C25</f>
        <v>CDE2</v>
      </c>
      <c r="D24" s="46">
        <f>+Nursing!I25</f>
        <v>256.37</v>
      </c>
      <c r="E24" s="47" t="str">
        <f>+'PT &amp; OT'!B25</f>
        <v>TL</v>
      </c>
      <c r="F24" s="47">
        <f>+'PT &amp; OT'!H25</f>
        <v>102.12</v>
      </c>
      <c r="G24" s="47">
        <f>+'PT &amp; OT'!O25</f>
        <v>95.6</v>
      </c>
      <c r="H24" s="47" t="str">
        <f>+SLP!B25</f>
        <v>SL</v>
      </c>
      <c r="I24" s="47">
        <f>+SLP!H25</f>
        <v>162.84</v>
      </c>
      <c r="J24" s="28"/>
      <c r="K24" s="28"/>
      <c r="L24" s="28"/>
    </row>
    <row r="25" spans="2:12" x14ac:dyDescent="0.25">
      <c r="B25" s="44" t="str">
        <f>+Nursing!B26</f>
        <v>M</v>
      </c>
      <c r="C25" s="45" t="str">
        <f>+Nursing!C26</f>
        <v>CDE1</v>
      </c>
      <c r="D25" s="46">
        <f>+Nursing!I26</f>
        <v>221.60999999999999</v>
      </c>
      <c r="E25" s="47" t="str">
        <f>+'PT &amp; OT'!B26</f>
        <v>TM</v>
      </c>
      <c r="F25" s="47">
        <f>+'PT &amp; OT'!H26</f>
        <v>118.97</v>
      </c>
      <c r="G25" s="47">
        <f>+'PT &amp; OT'!O26</f>
        <v>112</v>
      </c>
      <c r="H25" s="28"/>
      <c r="I25" s="28"/>
      <c r="J25" s="28"/>
      <c r="K25" s="28"/>
      <c r="L25" s="28"/>
    </row>
    <row r="26" spans="2:12" x14ac:dyDescent="0.25">
      <c r="B26" s="44" t="str">
        <f>+Nursing!B27</f>
        <v>N</v>
      </c>
      <c r="C26" s="45" t="str">
        <f>+Nursing!C27</f>
        <v>CBC2</v>
      </c>
      <c r="D26" s="46">
        <f>+Nursing!I27</f>
        <v>212.93</v>
      </c>
      <c r="E26" s="47" t="str">
        <f>+'PT &amp; OT'!B27</f>
        <v>TN</v>
      </c>
      <c r="F26" s="47">
        <f>+'PT &amp; OT'!H27</f>
        <v>138.79999999999998</v>
      </c>
      <c r="G26" s="47">
        <f>+'PT &amp; OT'!O27</f>
        <v>129.30000000000001</v>
      </c>
      <c r="H26" s="28"/>
      <c r="I26" s="28"/>
      <c r="J26" s="28"/>
      <c r="K26" s="28"/>
      <c r="L26" s="28"/>
    </row>
    <row r="27" spans="2:12" x14ac:dyDescent="0.25">
      <c r="B27" s="44" t="str">
        <f>+Nursing!B28</f>
        <v>O</v>
      </c>
      <c r="C27" s="45" t="str">
        <f>+Nursing!C28</f>
        <v>CA2</v>
      </c>
      <c r="D27" s="46">
        <f>+Nursing!I28</f>
        <v>149.19</v>
      </c>
      <c r="E27" s="47" t="str">
        <f>+'PT &amp; OT'!B28</f>
        <v>TO</v>
      </c>
      <c r="F27" s="47">
        <f>+'PT &amp; OT'!H28</f>
        <v>145.75</v>
      </c>
      <c r="G27" s="47">
        <f>+'PT &amp; OT'!O28</f>
        <v>133.85</v>
      </c>
      <c r="H27" s="28"/>
      <c r="I27" s="28"/>
      <c r="J27" s="28"/>
      <c r="K27" s="28"/>
      <c r="L27" s="28"/>
    </row>
    <row r="28" spans="2:12" x14ac:dyDescent="0.25">
      <c r="B28" s="44" t="str">
        <f>+Nursing!B29</f>
        <v>P</v>
      </c>
      <c r="C28" s="45" t="str">
        <f>+Nursing!C29</f>
        <v>CBC1</v>
      </c>
      <c r="D28" s="46">
        <f>+Nursing!I29</f>
        <v>183.96</v>
      </c>
      <c r="E28" s="47" t="str">
        <f>+'PT &amp; OT'!B29</f>
        <v>TP</v>
      </c>
      <c r="F28" s="47">
        <f>+'PT &amp; OT'!H29</f>
        <v>101.13</v>
      </c>
      <c r="G28" s="47">
        <f>+'PT &amp; OT'!O29</f>
        <v>93.79</v>
      </c>
      <c r="H28" s="28"/>
      <c r="I28" s="28"/>
      <c r="J28" s="28"/>
      <c r="K28" s="28"/>
      <c r="L28" s="28"/>
    </row>
    <row r="29" spans="2:12" x14ac:dyDescent="0.25">
      <c r="B29" s="44" t="str">
        <f>+Nursing!B30</f>
        <v>Q</v>
      </c>
      <c r="C29" s="45" t="str">
        <f>+Nursing!C30</f>
        <v>CA1</v>
      </c>
      <c r="D29" s="46">
        <f>+Nursing!I30</f>
        <v>128.91</v>
      </c>
      <c r="E29" s="28"/>
      <c r="F29" s="28"/>
      <c r="G29" s="28"/>
      <c r="H29" s="28"/>
      <c r="I29" s="28"/>
      <c r="J29" s="28"/>
      <c r="K29" s="28"/>
      <c r="L29" s="28"/>
    </row>
    <row r="30" spans="2:12" x14ac:dyDescent="0.25">
      <c r="B30" s="44" t="str">
        <f>+Nursing!B31</f>
        <v>R</v>
      </c>
      <c r="C30" s="45" t="str">
        <f>+Nursing!C31</f>
        <v>BAB2</v>
      </c>
      <c r="D30" s="46">
        <f>+Nursing!I31</f>
        <v>141.94999999999999</v>
      </c>
      <c r="E30" s="28"/>
      <c r="F30" s="28"/>
      <c r="G30" s="28"/>
      <c r="H30" s="28"/>
      <c r="I30" s="28"/>
      <c r="J30" s="28"/>
      <c r="K30" s="28"/>
      <c r="L30" s="28"/>
    </row>
    <row r="31" spans="2:12" x14ac:dyDescent="0.25">
      <c r="B31" s="44" t="str">
        <f>+Nursing!B32</f>
        <v>S</v>
      </c>
      <c r="C31" s="45" t="str">
        <f>+Nursing!C32</f>
        <v>BAB1</v>
      </c>
      <c r="D31" s="46">
        <f>+Nursing!I32</f>
        <v>136.15</v>
      </c>
      <c r="E31" s="28"/>
      <c r="F31" s="28"/>
      <c r="G31" s="28"/>
      <c r="H31" s="28"/>
      <c r="I31" s="28"/>
      <c r="J31" s="28"/>
      <c r="K31" s="28"/>
      <c r="L31" s="28"/>
    </row>
    <row r="32" spans="2:12" x14ac:dyDescent="0.25">
      <c r="B32" s="44" t="str">
        <f>+Nursing!B33</f>
        <v>T</v>
      </c>
      <c r="C32" s="45" t="str">
        <f>+Nursing!C33</f>
        <v>PDE2</v>
      </c>
      <c r="D32" s="46">
        <f>+Nursing!I33</f>
        <v>214.38</v>
      </c>
      <c r="E32" s="28"/>
      <c r="F32" s="28"/>
      <c r="G32" s="28"/>
      <c r="H32" s="28"/>
      <c r="I32" s="28"/>
      <c r="J32" s="28"/>
      <c r="K32" s="28"/>
      <c r="L32" s="28"/>
    </row>
    <row r="33" spans="2:12" x14ac:dyDescent="0.25">
      <c r="B33" s="44" t="str">
        <f>+Nursing!B34</f>
        <v>U</v>
      </c>
      <c r="C33" s="45" t="str">
        <f>+Nursing!C34</f>
        <v>PDE1</v>
      </c>
      <c r="D33" s="46">
        <f>+Nursing!I34</f>
        <v>201.34</v>
      </c>
      <c r="E33" s="28"/>
      <c r="F33" s="28"/>
      <c r="G33" s="28"/>
      <c r="H33" s="28"/>
      <c r="I33" s="28"/>
      <c r="J33" s="28"/>
      <c r="K33" s="28"/>
      <c r="L33" s="28"/>
    </row>
    <row r="34" spans="2:12" x14ac:dyDescent="0.25">
      <c r="B34" s="44" t="str">
        <f>+Nursing!B35</f>
        <v>V</v>
      </c>
      <c r="C34" s="45" t="str">
        <f>+Nursing!C35</f>
        <v>PBC2</v>
      </c>
      <c r="D34" s="46">
        <f>+Nursing!I35</f>
        <v>166.57</v>
      </c>
      <c r="E34" s="28"/>
      <c r="F34" s="28"/>
      <c r="G34" s="28"/>
      <c r="H34" s="28"/>
      <c r="I34" s="28"/>
      <c r="J34" s="28"/>
      <c r="K34" s="28"/>
      <c r="L34" s="28"/>
    </row>
    <row r="35" spans="2:12" x14ac:dyDescent="0.25">
      <c r="B35" s="44" t="str">
        <f>+Nursing!B36</f>
        <v>W</v>
      </c>
      <c r="C35" s="45" t="str">
        <f>+Nursing!C36</f>
        <v>PA2</v>
      </c>
      <c r="D35" s="46">
        <f>+Nursing!I36</f>
        <v>97.039999999999992</v>
      </c>
      <c r="E35" s="28"/>
      <c r="F35" s="28"/>
      <c r="G35" s="28"/>
      <c r="H35" s="28"/>
      <c r="I35" s="28"/>
      <c r="J35" s="28"/>
      <c r="K35" s="28"/>
      <c r="L35" s="28"/>
    </row>
    <row r="36" spans="2:12" x14ac:dyDescent="0.25">
      <c r="B36" s="44" t="str">
        <f>+Nursing!B37</f>
        <v>X</v>
      </c>
      <c r="C36" s="45" t="str">
        <f>+Nursing!C37</f>
        <v>PBC1</v>
      </c>
      <c r="D36" s="46">
        <f>+Nursing!I37</f>
        <v>154.98000000000002</v>
      </c>
      <c r="E36" s="28"/>
      <c r="F36" s="28"/>
      <c r="G36" s="28"/>
      <c r="H36" s="28"/>
      <c r="I36" s="28"/>
      <c r="J36" s="28"/>
      <c r="K36" s="28"/>
      <c r="L36" s="28"/>
    </row>
    <row r="37" spans="2:12" x14ac:dyDescent="0.25">
      <c r="B37" s="44" t="str">
        <f>+Nursing!B38</f>
        <v>Y</v>
      </c>
      <c r="C37" s="45" t="str">
        <f>+Nursing!C38</f>
        <v>PA1</v>
      </c>
      <c r="D37" s="46">
        <f>+Nursing!I38</f>
        <v>89.800000000000011</v>
      </c>
      <c r="E37" s="28"/>
      <c r="F37" s="28"/>
      <c r="G37" s="28"/>
      <c r="H37" s="28"/>
      <c r="I37" s="28"/>
      <c r="J37" s="28"/>
      <c r="K37" s="28"/>
      <c r="L37" s="28"/>
    </row>
    <row r="38" spans="2:12" x14ac:dyDescent="0.2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2" x14ac:dyDescent="0.25">
      <c r="B39" s="42" t="str">
        <f>+'Federal Register Tables'!B17</f>
        <v>PDPM</v>
      </c>
      <c r="C39" s="42" t="str">
        <f>+'Federal Register Tables'!I17</f>
        <v>Nursing</v>
      </c>
      <c r="D39" s="42" t="str">
        <f>+'Federal Register Tables'!J17</f>
        <v>Nursing</v>
      </c>
      <c r="E39" s="42" t="s">
        <v>255</v>
      </c>
      <c r="F39" s="42" t="str">
        <f>+'PT &amp; OT'!C12</f>
        <v>PT</v>
      </c>
      <c r="G39" s="42" t="str">
        <f>+'PT &amp; OT'!J12</f>
        <v>OT</v>
      </c>
      <c r="H39" s="42" t="s">
        <v>257</v>
      </c>
      <c r="I39" s="42" t="str">
        <f>+SLP!C12</f>
        <v>SLP</v>
      </c>
      <c r="J39" s="42" t="s">
        <v>258</v>
      </c>
      <c r="K39" s="42" t="str">
        <f>+NTA!C12</f>
        <v>NTA</v>
      </c>
      <c r="L39" s="28"/>
    </row>
    <row r="40" spans="2:12" x14ac:dyDescent="0.25">
      <c r="B40" s="43" t="str">
        <f>+'Federal Register Tables'!B18</f>
        <v>Group</v>
      </c>
      <c r="C40" s="43" t="str">
        <f>+'Federal Register Tables'!I18</f>
        <v>CMG</v>
      </c>
      <c r="D40" s="43" t="str">
        <f>+'Federal Register Tables'!J18</f>
        <v>CMI</v>
      </c>
      <c r="E40" s="43" t="s">
        <v>256</v>
      </c>
      <c r="F40" s="43" t="str">
        <f>+'PT &amp; OT'!C13</f>
        <v>CMI</v>
      </c>
      <c r="G40" s="43" t="str">
        <f>+'PT &amp; OT'!J13</f>
        <v>CMI</v>
      </c>
      <c r="H40" s="43" t="s">
        <v>256</v>
      </c>
      <c r="I40" s="43" t="str">
        <f>+SLP!C13</f>
        <v>CMI</v>
      </c>
      <c r="J40" s="43" t="s">
        <v>256</v>
      </c>
      <c r="K40" s="43" t="str">
        <f>+NTA!C13</f>
        <v>CMI</v>
      </c>
      <c r="L40" s="28"/>
    </row>
    <row r="41" spans="2:12" x14ac:dyDescent="0.25">
      <c r="B41" s="44" t="str">
        <f>+'Federal Register Tables'!B19</f>
        <v>A</v>
      </c>
      <c r="C41" s="45" t="str">
        <f>+'Federal Register Tables'!I19</f>
        <v>ES3</v>
      </c>
      <c r="D41" s="46">
        <f>+'Federal Register Tables'!J19</f>
        <v>3.84</v>
      </c>
      <c r="E41" s="47" t="str">
        <f>+'PT &amp; OT'!B14</f>
        <v>TA</v>
      </c>
      <c r="F41" s="47">
        <f>+'PT &amp; OT'!C14</f>
        <v>1.45</v>
      </c>
      <c r="G41" s="47">
        <f>+'PT &amp; OT'!J14</f>
        <v>1.41</v>
      </c>
      <c r="H41" s="47" t="str">
        <f>+SLP!B14</f>
        <v>SA</v>
      </c>
      <c r="I41" s="47">
        <f>+SLP!C14</f>
        <v>0.64</v>
      </c>
      <c r="J41" s="47" t="str">
        <f>+NTA!B14</f>
        <v>NA</v>
      </c>
      <c r="K41" s="47">
        <f>+NTA!C14</f>
        <v>3.06</v>
      </c>
      <c r="L41" s="28"/>
    </row>
    <row r="42" spans="2:12" x14ac:dyDescent="0.25">
      <c r="B42" s="44" t="str">
        <f>+'Federal Register Tables'!B20</f>
        <v>B</v>
      </c>
      <c r="C42" s="45" t="str">
        <f>+'Federal Register Tables'!I20</f>
        <v>ES2</v>
      </c>
      <c r="D42" s="46">
        <f>+'Federal Register Tables'!J20</f>
        <v>2.9</v>
      </c>
      <c r="E42" s="47" t="str">
        <f>+'PT &amp; OT'!B15</f>
        <v>TB</v>
      </c>
      <c r="F42" s="47">
        <f>+'PT &amp; OT'!C15</f>
        <v>1.61</v>
      </c>
      <c r="G42" s="47">
        <f>+'PT &amp; OT'!J15</f>
        <v>1.54</v>
      </c>
      <c r="H42" s="47" t="str">
        <f>+SLP!B15</f>
        <v>SB</v>
      </c>
      <c r="I42" s="47">
        <f>+SLP!C15</f>
        <v>1.72</v>
      </c>
      <c r="J42" s="47" t="str">
        <f>+NTA!B15</f>
        <v>NB</v>
      </c>
      <c r="K42" s="47">
        <f>+NTA!C15</f>
        <v>2.39</v>
      </c>
      <c r="L42" s="28"/>
    </row>
    <row r="43" spans="2:12" x14ac:dyDescent="0.25">
      <c r="B43" s="44" t="str">
        <f>+'Federal Register Tables'!B21</f>
        <v>C</v>
      </c>
      <c r="C43" s="45" t="str">
        <f>+'Federal Register Tables'!I21</f>
        <v>ES1</v>
      </c>
      <c r="D43" s="46">
        <f>+'Federal Register Tables'!J21</f>
        <v>2.77</v>
      </c>
      <c r="E43" s="47" t="str">
        <f>+'PT &amp; OT'!B16</f>
        <v>TC</v>
      </c>
      <c r="F43" s="47">
        <f>+'PT &amp; OT'!C16</f>
        <v>1.78</v>
      </c>
      <c r="G43" s="47">
        <f>+'PT &amp; OT'!J16</f>
        <v>1.6</v>
      </c>
      <c r="H43" s="47" t="str">
        <f>+SLP!B16</f>
        <v>SC</v>
      </c>
      <c r="I43" s="47">
        <f>+SLP!C16</f>
        <v>2.52</v>
      </c>
      <c r="J43" s="47" t="str">
        <f>+NTA!B16</f>
        <v>NC</v>
      </c>
      <c r="K43" s="47">
        <f>+NTA!C16</f>
        <v>1.74</v>
      </c>
      <c r="L43" s="28"/>
    </row>
    <row r="44" spans="2:12" x14ac:dyDescent="0.25">
      <c r="B44" s="44" t="str">
        <f>+'Federal Register Tables'!B22</f>
        <v>D</v>
      </c>
      <c r="C44" s="45" t="str">
        <f>+'Federal Register Tables'!I22</f>
        <v>HDE2</v>
      </c>
      <c r="D44" s="46">
        <f>+'Federal Register Tables'!J22</f>
        <v>2.27</v>
      </c>
      <c r="E44" s="47" t="str">
        <f>+'PT &amp; OT'!B17</f>
        <v>TD</v>
      </c>
      <c r="F44" s="47">
        <f>+'PT &amp; OT'!C17</f>
        <v>1.81</v>
      </c>
      <c r="G44" s="47">
        <f>+'PT &amp; OT'!J17</f>
        <v>1.45</v>
      </c>
      <c r="H44" s="47" t="str">
        <f>+SLP!B17</f>
        <v>SD</v>
      </c>
      <c r="I44" s="47">
        <f>+SLP!C17</f>
        <v>1.38</v>
      </c>
      <c r="J44" s="47" t="str">
        <f>+NTA!B17</f>
        <v>ND</v>
      </c>
      <c r="K44" s="47">
        <f>+NTA!C17</f>
        <v>1.26</v>
      </c>
      <c r="L44" s="28"/>
    </row>
    <row r="45" spans="2:12" x14ac:dyDescent="0.25">
      <c r="B45" s="44" t="str">
        <f>+'Federal Register Tables'!B23</f>
        <v>E</v>
      </c>
      <c r="C45" s="45" t="str">
        <f>+'Federal Register Tables'!I23</f>
        <v>HDE1</v>
      </c>
      <c r="D45" s="46">
        <f>+'Federal Register Tables'!J23</f>
        <v>1.88</v>
      </c>
      <c r="E45" s="47" t="str">
        <f>+'PT &amp; OT'!B18</f>
        <v>TE</v>
      </c>
      <c r="F45" s="47">
        <f>+'PT &amp; OT'!C18</f>
        <v>1.34</v>
      </c>
      <c r="G45" s="47">
        <f>+'PT &amp; OT'!J18</f>
        <v>1.33</v>
      </c>
      <c r="H45" s="47" t="str">
        <f>+SLP!B18</f>
        <v>SE</v>
      </c>
      <c r="I45" s="47">
        <f>+SLP!C18</f>
        <v>2.21</v>
      </c>
      <c r="J45" s="47" t="str">
        <f>+NTA!B18</f>
        <v>NE</v>
      </c>
      <c r="K45" s="47">
        <f>+NTA!C18</f>
        <v>0.91</v>
      </c>
      <c r="L45" s="28"/>
    </row>
    <row r="46" spans="2:12" x14ac:dyDescent="0.25">
      <c r="B46" s="44" t="str">
        <f>+'Federal Register Tables'!B24</f>
        <v>F</v>
      </c>
      <c r="C46" s="45" t="str">
        <f>+'Federal Register Tables'!I24</f>
        <v>HBC2</v>
      </c>
      <c r="D46" s="46">
        <f>+'Federal Register Tables'!J24</f>
        <v>2.12</v>
      </c>
      <c r="E46" s="47" t="str">
        <f>+'PT &amp; OT'!B19</f>
        <v>TF</v>
      </c>
      <c r="F46" s="47">
        <f>+'PT &amp; OT'!C19</f>
        <v>1.52</v>
      </c>
      <c r="G46" s="47">
        <f>+'PT &amp; OT'!J19</f>
        <v>1.51</v>
      </c>
      <c r="H46" s="47" t="str">
        <f>+SLP!B19</f>
        <v>SF</v>
      </c>
      <c r="I46" s="47">
        <f>+SLP!C19</f>
        <v>2.82</v>
      </c>
      <c r="J46" s="47" t="str">
        <f>+NTA!B19</f>
        <v>NF</v>
      </c>
      <c r="K46" s="47">
        <f>+NTA!C19</f>
        <v>0.68</v>
      </c>
      <c r="L46" s="28"/>
    </row>
    <row r="47" spans="2:12" x14ac:dyDescent="0.25">
      <c r="B47" s="44" t="str">
        <f>+'Federal Register Tables'!B25</f>
        <v>G</v>
      </c>
      <c r="C47" s="45" t="str">
        <f>+'Federal Register Tables'!I25</f>
        <v>HBC1</v>
      </c>
      <c r="D47" s="46">
        <f>+'Federal Register Tables'!J25</f>
        <v>1.76</v>
      </c>
      <c r="E47" s="47" t="str">
        <f>+'PT &amp; OT'!B20</f>
        <v>TG</v>
      </c>
      <c r="F47" s="47">
        <f>+'PT &amp; OT'!C20</f>
        <v>1.58</v>
      </c>
      <c r="G47" s="47">
        <f>+'PT &amp; OT'!J20</f>
        <v>1.55</v>
      </c>
      <c r="H47" s="47" t="str">
        <f>+SLP!B20</f>
        <v>SG</v>
      </c>
      <c r="I47" s="47">
        <f>+SLP!C20</f>
        <v>1.93</v>
      </c>
      <c r="J47" s="28"/>
      <c r="K47" s="28"/>
      <c r="L47" s="28"/>
    </row>
    <row r="48" spans="2:12" x14ac:dyDescent="0.25">
      <c r="B48" s="44" t="str">
        <f>+'Federal Register Tables'!B26</f>
        <v>H</v>
      </c>
      <c r="C48" s="45" t="str">
        <f>+'Federal Register Tables'!I26</f>
        <v>LDE2</v>
      </c>
      <c r="D48" s="46">
        <f>+'Federal Register Tables'!J26</f>
        <v>1.97</v>
      </c>
      <c r="E48" s="47" t="str">
        <f>+'PT &amp; OT'!B21</f>
        <v>TH</v>
      </c>
      <c r="F48" s="47">
        <f>+'PT &amp; OT'!C21</f>
        <v>1.1000000000000001</v>
      </c>
      <c r="G48" s="47">
        <f>+'PT &amp; OT'!J21</f>
        <v>1.0900000000000001</v>
      </c>
      <c r="H48" s="47" t="str">
        <f>+SLP!B21</f>
        <v>SH</v>
      </c>
      <c r="I48" s="47">
        <f>+SLP!C21</f>
        <v>2.7</v>
      </c>
      <c r="J48" s="28"/>
      <c r="K48" s="28"/>
      <c r="L48" s="28"/>
    </row>
    <row r="49" spans="2:12" x14ac:dyDescent="0.25">
      <c r="B49" s="44" t="str">
        <f>+'Federal Register Tables'!B27</f>
        <v>I</v>
      </c>
      <c r="C49" s="45" t="str">
        <f>+'Federal Register Tables'!I27</f>
        <v>LDE1</v>
      </c>
      <c r="D49" s="46">
        <f>+'Federal Register Tables'!J27</f>
        <v>1.64</v>
      </c>
      <c r="E49" s="47" t="str">
        <f>+'PT &amp; OT'!B22</f>
        <v>TI</v>
      </c>
      <c r="F49" s="47">
        <f>+'PT &amp; OT'!C22</f>
        <v>1.07</v>
      </c>
      <c r="G49" s="47">
        <f>+'PT &amp; OT'!J22</f>
        <v>1.1200000000000001</v>
      </c>
      <c r="H49" s="47" t="str">
        <f>+SLP!B22</f>
        <v>SI</v>
      </c>
      <c r="I49" s="47">
        <f>+SLP!C22</f>
        <v>3.34</v>
      </c>
      <c r="J49" s="28"/>
      <c r="K49" s="28"/>
      <c r="L49" s="28"/>
    </row>
    <row r="50" spans="2:12" x14ac:dyDescent="0.25">
      <c r="B50" s="44" t="str">
        <f>+'Federal Register Tables'!B28</f>
        <v>J</v>
      </c>
      <c r="C50" s="45" t="str">
        <f>+'Federal Register Tables'!I28</f>
        <v>LBC2</v>
      </c>
      <c r="D50" s="46">
        <f>+'Federal Register Tables'!J28</f>
        <v>1.63</v>
      </c>
      <c r="E50" s="47" t="str">
        <f>+'PT &amp; OT'!B23</f>
        <v>TJ</v>
      </c>
      <c r="F50" s="47">
        <f>+'PT &amp; OT'!C23</f>
        <v>1.34</v>
      </c>
      <c r="G50" s="47">
        <f>+'PT &amp; OT'!J23</f>
        <v>1.37</v>
      </c>
      <c r="H50" s="47" t="str">
        <f>+SLP!B23</f>
        <v>SJ</v>
      </c>
      <c r="I50" s="47">
        <f>+SLP!C23</f>
        <v>2.83</v>
      </c>
      <c r="J50" s="28"/>
      <c r="K50" s="28"/>
      <c r="L50" s="28"/>
    </row>
    <row r="51" spans="2:12" x14ac:dyDescent="0.25">
      <c r="B51" s="44" t="str">
        <f>+'Federal Register Tables'!B29</f>
        <v>K</v>
      </c>
      <c r="C51" s="45" t="str">
        <f>+'Federal Register Tables'!I29</f>
        <v>LBC1</v>
      </c>
      <c r="D51" s="46">
        <f>+'Federal Register Tables'!J29</f>
        <v>1.35</v>
      </c>
      <c r="E51" s="47" t="str">
        <f>+'PT &amp; OT'!B24</f>
        <v>TK</v>
      </c>
      <c r="F51" s="47">
        <f>+'PT &amp; OT'!C24</f>
        <v>1.44</v>
      </c>
      <c r="G51" s="47">
        <f>+'PT &amp; OT'!J24</f>
        <v>1.46</v>
      </c>
      <c r="H51" s="47" t="str">
        <f>+SLP!B24</f>
        <v>SK</v>
      </c>
      <c r="I51" s="47">
        <f>+SLP!C24</f>
        <v>3.5</v>
      </c>
      <c r="J51" s="28"/>
      <c r="K51" s="28"/>
      <c r="L51" s="28"/>
    </row>
    <row r="52" spans="2:12" x14ac:dyDescent="0.25">
      <c r="B52" s="44" t="str">
        <f>+'Federal Register Tables'!B30</f>
        <v>L</v>
      </c>
      <c r="C52" s="45" t="str">
        <f>+'Federal Register Tables'!I30</f>
        <v>CDE2</v>
      </c>
      <c r="D52" s="46">
        <f>+'Federal Register Tables'!J30</f>
        <v>1.77</v>
      </c>
      <c r="E52" s="47" t="str">
        <f>+'PT &amp; OT'!B25</f>
        <v>TL</v>
      </c>
      <c r="F52" s="47">
        <f>+'PT &amp; OT'!C25</f>
        <v>1.03</v>
      </c>
      <c r="G52" s="47">
        <f>+'PT &amp; OT'!J25</f>
        <v>1.05</v>
      </c>
      <c r="H52" s="47" t="str">
        <f>+SLP!B25</f>
        <v>SL</v>
      </c>
      <c r="I52" s="47">
        <f>+SLP!C25</f>
        <v>3.98</v>
      </c>
      <c r="J52" s="28"/>
      <c r="K52" s="28"/>
      <c r="L52" s="28"/>
    </row>
    <row r="53" spans="2:12" x14ac:dyDescent="0.25">
      <c r="B53" s="44" t="str">
        <f>+'Federal Register Tables'!B31</f>
        <v>M</v>
      </c>
      <c r="C53" s="45" t="str">
        <f>+'Federal Register Tables'!I31</f>
        <v>CDE1</v>
      </c>
      <c r="D53" s="46">
        <f>+'Federal Register Tables'!J31</f>
        <v>1.53</v>
      </c>
      <c r="E53" s="47" t="str">
        <f>+'PT &amp; OT'!B26</f>
        <v>TM</v>
      </c>
      <c r="F53" s="47">
        <f>+'PT &amp; OT'!C26</f>
        <v>1.2</v>
      </c>
      <c r="G53" s="47">
        <f>+'PT &amp; OT'!J26</f>
        <v>1.23</v>
      </c>
      <c r="H53" s="28"/>
      <c r="I53" s="28"/>
      <c r="J53" s="28"/>
      <c r="K53" s="28"/>
      <c r="L53" s="28"/>
    </row>
    <row r="54" spans="2:12" x14ac:dyDescent="0.25">
      <c r="B54" s="44" t="str">
        <f>+'Federal Register Tables'!B32</f>
        <v>N</v>
      </c>
      <c r="C54" s="45" t="str">
        <f>+'Federal Register Tables'!I32</f>
        <v>CBC2</v>
      </c>
      <c r="D54" s="46">
        <f>+'Federal Register Tables'!J32</f>
        <v>1.47</v>
      </c>
      <c r="E54" s="47" t="str">
        <f>+'PT &amp; OT'!B27</f>
        <v>TN</v>
      </c>
      <c r="F54" s="47">
        <f>+'PT &amp; OT'!C27</f>
        <v>1.4</v>
      </c>
      <c r="G54" s="47">
        <f>+'PT &amp; OT'!J27</f>
        <v>1.42</v>
      </c>
      <c r="H54" s="28"/>
      <c r="I54" s="28"/>
      <c r="J54" s="28"/>
      <c r="K54" s="28"/>
      <c r="L54" s="28"/>
    </row>
    <row r="55" spans="2:12" x14ac:dyDescent="0.25">
      <c r="B55" s="44" t="str">
        <f>+'Federal Register Tables'!B33</f>
        <v>O</v>
      </c>
      <c r="C55" s="45" t="str">
        <f>+'Federal Register Tables'!I33</f>
        <v>CA2</v>
      </c>
      <c r="D55" s="46">
        <f>+'Federal Register Tables'!J33</f>
        <v>1.03</v>
      </c>
      <c r="E55" s="47" t="str">
        <f>+'PT &amp; OT'!B28</f>
        <v>TO</v>
      </c>
      <c r="F55" s="47">
        <f>+'PT &amp; OT'!C28</f>
        <v>1.47</v>
      </c>
      <c r="G55" s="47">
        <f>+'PT &amp; OT'!J28</f>
        <v>1.47</v>
      </c>
      <c r="H55" s="28"/>
      <c r="I55" s="28"/>
      <c r="J55" s="28"/>
      <c r="K55" s="28"/>
      <c r="L55" s="28"/>
    </row>
    <row r="56" spans="2:12" x14ac:dyDescent="0.25">
      <c r="B56" s="44" t="str">
        <f>+'Federal Register Tables'!B34</f>
        <v>P</v>
      </c>
      <c r="C56" s="45" t="str">
        <f>+'Federal Register Tables'!I34</f>
        <v>CBC1</v>
      </c>
      <c r="D56" s="46">
        <f>+'Federal Register Tables'!J34</f>
        <v>1.27</v>
      </c>
      <c r="E56" s="47" t="str">
        <f>+'PT &amp; OT'!B29</f>
        <v>TP</v>
      </c>
      <c r="F56" s="47">
        <f>+'PT &amp; OT'!C29</f>
        <v>1.02</v>
      </c>
      <c r="G56" s="47">
        <f>+'PT &amp; OT'!J29</f>
        <v>1.03</v>
      </c>
      <c r="H56" s="28"/>
      <c r="I56" s="28"/>
      <c r="J56" s="28"/>
      <c r="K56" s="28"/>
      <c r="L56" s="28"/>
    </row>
    <row r="57" spans="2:12" x14ac:dyDescent="0.25">
      <c r="B57" s="44" t="str">
        <f>+'Federal Register Tables'!B35</f>
        <v>Q</v>
      </c>
      <c r="C57" s="45" t="str">
        <f>+'Federal Register Tables'!I35</f>
        <v>CA1</v>
      </c>
      <c r="D57" s="46">
        <f>+'Federal Register Tables'!J35</f>
        <v>0.89</v>
      </c>
      <c r="E57" s="28"/>
      <c r="F57" s="28"/>
      <c r="G57" s="28"/>
      <c r="H57" s="28"/>
      <c r="I57" s="28"/>
      <c r="J57" s="28"/>
      <c r="K57" s="28"/>
      <c r="L57" s="28"/>
    </row>
    <row r="58" spans="2:12" x14ac:dyDescent="0.25">
      <c r="B58" s="44" t="str">
        <f>+'Federal Register Tables'!B36</f>
        <v>R</v>
      </c>
      <c r="C58" s="45" t="str">
        <f>+'Federal Register Tables'!I36</f>
        <v>BAB2</v>
      </c>
      <c r="D58" s="46">
        <f>+'Federal Register Tables'!J36</f>
        <v>0.98</v>
      </c>
      <c r="E58" s="28"/>
      <c r="F58" s="28"/>
      <c r="G58" s="28"/>
      <c r="H58" s="28"/>
      <c r="I58" s="28"/>
      <c r="J58" s="28"/>
      <c r="K58" s="28"/>
      <c r="L58" s="28"/>
    </row>
    <row r="59" spans="2:12" x14ac:dyDescent="0.25">
      <c r="B59" s="44" t="str">
        <f>+'Federal Register Tables'!B37</f>
        <v>S</v>
      </c>
      <c r="C59" s="45" t="str">
        <f>+'Federal Register Tables'!I37</f>
        <v>BAB1</v>
      </c>
      <c r="D59" s="46">
        <f>+'Federal Register Tables'!J37</f>
        <v>0.94</v>
      </c>
      <c r="E59" s="28"/>
      <c r="F59" s="28"/>
      <c r="G59" s="28"/>
      <c r="H59" s="28"/>
      <c r="I59" s="28"/>
      <c r="J59" s="28"/>
      <c r="K59" s="28"/>
      <c r="L59" s="28"/>
    </row>
    <row r="60" spans="2:12" x14ac:dyDescent="0.25">
      <c r="B60" s="44" t="str">
        <f>+'Federal Register Tables'!B38</f>
        <v>T</v>
      </c>
      <c r="C60" s="45" t="str">
        <f>+'Federal Register Tables'!I38</f>
        <v>PDE2</v>
      </c>
      <c r="D60" s="46">
        <f>+'Federal Register Tables'!J38</f>
        <v>1.48</v>
      </c>
      <c r="E60" s="28"/>
      <c r="F60" s="28"/>
      <c r="G60" s="28"/>
      <c r="H60" s="28"/>
      <c r="I60" s="28"/>
      <c r="J60" s="28"/>
      <c r="K60" s="28"/>
      <c r="L60" s="28"/>
    </row>
    <row r="61" spans="2:12" x14ac:dyDescent="0.25">
      <c r="B61" s="44" t="str">
        <f>+'Federal Register Tables'!B39</f>
        <v>U</v>
      </c>
      <c r="C61" s="45" t="str">
        <f>+'Federal Register Tables'!I39</f>
        <v>PDE1</v>
      </c>
      <c r="D61" s="46">
        <f>+'Federal Register Tables'!J39</f>
        <v>1.39</v>
      </c>
      <c r="E61" s="28"/>
      <c r="F61" s="28"/>
      <c r="G61" s="28"/>
      <c r="H61" s="28"/>
      <c r="I61" s="28"/>
      <c r="J61" s="28"/>
      <c r="K61" s="28"/>
      <c r="L61" s="28"/>
    </row>
    <row r="62" spans="2:12" x14ac:dyDescent="0.25">
      <c r="B62" s="44" t="str">
        <f>+'Federal Register Tables'!B40</f>
        <v>V</v>
      </c>
      <c r="C62" s="45" t="str">
        <f>+'Federal Register Tables'!I40</f>
        <v>PBC2</v>
      </c>
      <c r="D62" s="46">
        <f>+'Federal Register Tables'!J40</f>
        <v>1.1499999999999999</v>
      </c>
      <c r="E62" s="28"/>
      <c r="F62" s="28"/>
      <c r="G62" s="28"/>
      <c r="H62" s="28"/>
      <c r="I62" s="28"/>
      <c r="J62" s="28"/>
      <c r="K62" s="28"/>
      <c r="L62" s="28"/>
    </row>
    <row r="63" spans="2:12" x14ac:dyDescent="0.25">
      <c r="B63" s="44" t="str">
        <f>+'Federal Register Tables'!B41</f>
        <v>W</v>
      </c>
      <c r="C63" s="45" t="str">
        <f>+'Federal Register Tables'!I41</f>
        <v>PA2</v>
      </c>
      <c r="D63" s="46">
        <f>+'Federal Register Tables'!J41</f>
        <v>0.67</v>
      </c>
      <c r="E63" s="28"/>
      <c r="F63" s="28"/>
      <c r="G63" s="28"/>
      <c r="H63" s="28"/>
      <c r="I63" s="28"/>
      <c r="J63" s="28"/>
      <c r="K63" s="28"/>
      <c r="L63" s="28"/>
    </row>
    <row r="64" spans="2:12" x14ac:dyDescent="0.25">
      <c r="B64" s="44" t="str">
        <f>+'Federal Register Tables'!B42</f>
        <v>X</v>
      </c>
      <c r="C64" s="45" t="str">
        <f>+'Federal Register Tables'!I42</f>
        <v>PBC1</v>
      </c>
      <c r="D64" s="46">
        <f>+'Federal Register Tables'!J42</f>
        <v>1.07</v>
      </c>
      <c r="E64" s="28"/>
      <c r="F64" s="28"/>
      <c r="G64" s="28"/>
      <c r="H64" s="28"/>
      <c r="I64" s="28"/>
      <c r="J64" s="28"/>
      <c r="K64" s="28"/>
      <c r="L64" s="28"/>
    </row>
    <row r="65" spans="2:13" x14ac:dyDescent="0.25">
      <c r="B65" s="44" t="str">
        <f>+'Federal Register Tables'!B43</f>
        <v>Y</v>
      </c>
      <c r="C65" s="45" t="str">
        <f>+'Federal Register Tables'!I43</f>
        <v>PA1</v>
      </c>
      <c r="D65" s="46">
        <f>+'Federal Register Tables'!J43</f>
        <v>0.62</v>
      </c>
      <c r="E65" s="28"/>
      <c r="F65" s="28"/>
      <c r="G65" s="28"/>
      <c r="H65" s="28"/>
      <c r="I65" s="28"/>
      <c r="J65" s="28"/>
      <c r="K65" s="28"/>
      <c r="L65" s="28"/>
    </row>
    <row r="66" spans="2:13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2:13" x14ac:dyDescent="0.25">
      <c r="B67" s="48"/>
      <c r="C67" s="49"/>
      <c r="D67" s="49" t="s">
        <v>5</v>
      </c>
      <c r="E67" s="28"/>
      <c r="F67" s="49" t="s">
        <v>2</v>
      </c>
      <c r="G67" s="49" t="s">
        <v>3</v>
      </c>
      <c r="H67" s="28"/>
      <c r="I67" s="49" t="s">
        <v>4</v>
      </c>
      <c r="J67" s="28"/>
      <c r="K67" s="49" t="s">
        <v>6</v>
      </c>
      <c r="L67" s="28"/>
    </row>
    <row r="68" spans="2:13" x14ac:dyDescent="0.25">
      <c r="B68" s="48"/>
      <c r="C68" s="49"/>
      <c r="D68" s="49" t="s">
        <v>10</v>
      </c>
      <c r="E68" s="28"/>
      <c r="F68" s="49" t="s">
        <v>10</v>
      </c>
      <c r="G68" s="49" t="s">
        <v>10</v>
      </c>
      <c r="H68" s="28"/>
      <c r="I68" s="49" t="s">
        <v>10</v>
      </c>
      <c r="J68" s="28"/>
      <c r="K68" s="49" t="s">
        <v>10</v>
      </c>
      <c r="L68" s="28"/>
    </row>
    <row r="69" spans="2:13" x14ac:dyDescent="0.25">
      <c r="B69" s="48" t="s">
        <v>266</v>
      </c>
      <c r="C69" s="49"/>
      <c r="D69" s="49">
        <f>MAX(D41:D65)</f>
        <v>3.84</v>
      </c>
      <c r="E69" s="28"/>
      <c r="F69" s="49">
        <f>MAX(F41:F56)</f>
        <v>1.81</v>
      </c>
      <c r="G69" s="49">
        <f>MAX(G41:G56)</f>
        <v>1.6</v>
      </c>
      <c r="H69" s="28"/>
      <c r="I69" s="49">
        <f>MAX(I41:I52)</f>
        <v>3.98</v>
      </c>
      <c r="J69" s="28"/>
      <c r="K69" s="49">
        <f>MAX(K41:K46)</f>
        <v>3.06</v>
      </c>
      <c r="L69" s="28"/>
    </row>
    <row r="70" spans="2:13" x14ac:dyDescent="0.25">
      <c r="B70" s="48" t="s">
        <v>267</v>
      </c>
      <c r="C70" s="49"/>
      <c r="D70" s="49">
        <f>AVERAGE(D41:D65)</f>
        <v>1.6155999999999997</v>
      </c>
      <c r="E70" s="28"/>
      <c r="F70" s="49">
        <f>AVERAGE(F41:F56)</f>
        <v>1.3849999999999998</v>
      </c>
      <c r="G70" s="49">
        <f>AVERAGE(G41:G56)</f>
        <v>1.3518750000000002</v>
      </c>
      <c r="H70" s="28"/>
      <c r="I70" s="49">
        <f>AVERAGE(I41:I52)</f>
        <v>2.4641666666666664</v>
      </c>
      <c r="J70" s="28"/>
      <c r="K70" s="49">
        <f>AVERAGE(K41:K46)</f>
        <v>1.6733333333333336</v>
      </c>
      <c r="L70" s="28"/>
    </row>
    <row r="71" spans="2:13" x14ac:dyDescent="0.25">
      <c r="B71" s="48" t="s">
        <v>268</v>
      </c>
      <c r="C71" s="49"/>
      <c r="D71" s="49">
        <f>MIN(D41:D65)</f>
        <v>0.62</v>
      </c>
      <c r="E71" s="28"/>
      <c r="F71" s="49">
        <f>MIN(F41:F56)</f>
        <v>1.02</v>
      </c>
      <c r="G71" s="49">
        <f>MIN(G41:G56)</f>
        <v>1.03</v>
      </c>
      <c r="H71" s="28"/>
      <c r="I71" s="49">
        <f>MIN(I41:I52)</f>
        <v>0.64</v>
      </c>
      <c r="J71" s="28"/>
      <c r="K71" s="49">
        <f>MIN(K41:K46)</f>
        <v>0.68</v>
      </c>
      <c r="L71" s="28"/>
    </row>
    <row r="72" spans="2:13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2:13" ht="15.75" thickBot="1" x14ac:dyDescent="0.3">
      <c r="B73" s="50" t="s">
        <v>195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2:13" x14ac:dyDescent="0.25">
      <c r="B74" s="50" t="s">
        <v>181</v>
      </c>
      <c r="C74" s="28"/>
      <c r="D74" s="28"/>
      <c r="E74" s="28"/>
      <c r="F74" s="28"/>
      <c r="G74" s="28"/>
      <c r="H74" s="28"/>
      <c r="I74" s="28"/>
      <c r="J74" s="54" t="s">
        <v>269</v>
      </c>
      <c r="K74" s="54" t="s">
        <v>270</v>
      </c>
      <c r="L74" s="28"/>
    </row>
    <row r="75" spans="2:13" ht="15.75" thickBot="1" x14ac:dyDescent="0.3">
      <c r="B75" s="50"/>
      <c r="C75" s="28"/>
      <c r="D75" s="28"/>
      <c r="E75" s="28"/>
      <c r="F75" s="28"/>
      <c r="G75" s="28"/>
      <c r="H75" s="28"/>
      <c r="I75" s="28"/>
      <c r="J75" s="55" t="s">
        <v>271</v>
      </c>
      <c r="K75" s="55" t="s">
        <v>272</v>
      </c>
      <c r="L75" s="13"/>
    </row>
    <row r="76" spans="2:13" ht="15.75" thickBot="1" x14ac:dyDescent="0.3">
      <c r="B76" t="s">
        <v>265</v>
      </c>
      <c r="C76" s="51"/>
      <c r="D76" s="51"/>
      <c r="E76" s="51"/>
      <c r="F76" s="51"/>
      <c r="J76" s="56">
        <v>1</v>
      </c>
      <c r="K76" s="57"/>
      <c r="L76" s="13"/>
      <c r="M76" s="13"/>
    </row>
    <row r="77" spans="2:13" x14ac:dyDescent="0.25">
      <c r="B77" s="28"/>
      <c r="C77" s="29" t="s">
        <v>5</v>
      </c>
      <c r="D77" s="29" t="s">
        <v>2</v>
      </c>
      <c r="E77" s="29" t="s">
        <v>3</v>
      </c>
      <c r="F77" s="29" t="s">
        <v>4</v>
      </c>
      <c r="G77" s="29" t="s">
        <v>6</v>
      </c>
      <c r="H77" s="29" t="s">
        <v>172</v>
      </c>
      <c r="I77" s="30" t="s">
        <v>63</v>
      </c>
      <c r="J77" s="13"/>
      <c r="L77" s="13"/>
      <c r="M77" s="52" t="s">
        <v>253</v>
      </c>
    </row>
    <row r="78" spans="2:13" x14ac:dyDescent="0.25">
      <c r="B78" s="31" t="s">
        <v>252</v>
      </c>
      <c r="C78" s="32">
        <v>25</v>
      </c>
      <c r="D78" s="32">
        <v>9</v>
      </c>
      <c r="E78" s="33" t="str">
        <f>VLOOKUP(D78,'PT &amp; OT'!A14:B29,2,FALSE)</f>
        <v>TI</v>
      </c>
      <c r="F78" s="32">
        <v>12</v>
      </c>
      <c r="G78" s="32">
        <v>3</v>
      </c>
      <c r="H78" s="29"/>
      <c r="I78" s="30"/>
      <c r="J78" s="13"/>
      <c r="K78" s="60" t="s">
        <v>272</v>
      </c>
      <c r="L78" s="60" t="s">
        <v>273</v>
      </c>
      <c r="M78" s="52" t="s">
        <v>254</v>
      </c>
    </row>
    <row r="79" spans="2:13" x14ac:dyDescent="0.25">
      <c r="B79" s="28" t="s">
        <v>182</v>
      </c>
      <c r="C79" s="34">
        <f>IFERROR(VLOOKUP(C78,Nursing!A14:I38,9,FALSE),0)</f>
        <v>89.800000000000011</v>
      </c>
      <c r="D79" s="34">
        <f>IFERROR(VLOOKUP(D78,'PT &amp; OT'!$A$14:$O$29,8,FALSE),0)</f>
        <v>106.08999999999999</v>
      </c>
      <c r="E79" s="34">
        <f>IFERROR(VLOOKUP(E78,'PT &amp; OT'!$B$14:$O$29,14,FALSE),"")</f>
        <v>101.98</v>
      </c>
      <c r="F79" s="34">
        <f>IFERROR(VLOOKUP(F78,SLP!A14:H25,8,FALSE),"")</f>
        <v>162.84</v>
      </c>
      <c r="G79" s="34">
        <f>IFERROR(VLOOKUP(G78,NTA!A14:H19,8,FALSE),"")</f>
        <v>190.13</v>
      </c>
      <c r="H79" s="34">
        <f>+'Non-Case Mix'!H14</f>
        <v>138.28</v>
      </c>
      <c r="I79" s="35">
        <f t="shared" ref="I79:I93" si="0">SUM(C79:H79)</f>
        <v>789.12</v>
      </c>
      <c r="J79" s="58">
        <f>ROUND(I79*$J$76,2)</f>
        <v>789.12</v>
      </c>
      <c r="K79" s="28"/>
      <c r="L79" s="50"/>
      <c r="M79" s="38"/>
    </row>
    <row r="80" spans="2:13" x14ac:dyDescent="0.25">
      <c r="B80" s="28" t="s">
        <v>173</v>
      </c>
      <c r="C80" s="34">
        <f>+$C79</f>
        <v>89.800000000000011</v>
      </c>
      <c r="D80" s="34">
        <f>+$D79</f>
        <v>106.08999999999999</v>
      </c>
      <c r="E80" s="34">
        <f>+$E79</f>
        <v>101.98</v>
      </c>
      <c r="F80" s="34">
        <f>+$F79</f>
        <v>162.84</v>
      </c>
      <c r="G80" s="36">
        <f>+$G79*3</f>
        <v>570.39</v>
      </c>
      <c r="H80" s="34">
        <f>+$H79</f>
        <v>138.28</v>
      </c>
      <c r="I80" s="35">
        <f t="shared" si="0"/>
        <v>1169.3799999999999</v>
      </c>
      <c r="J80" s="58">
        <f>ROUND(I80*$J$76,2)</f>
        <v>1169.3800000000001</v>
      </c>
      <c r="K80" s="28">
        <f>IF($K$76&gt;3,3,$K$76)</f>
        <v>0</v>
      </c>
      <c r="L80" s="59">
        <f>ROUND(J80*K80,2)</f>
        <v>0</v>
      </c>
      <c r="M80" s="38"/>
    </row>
    <row r="81" spans="2:13" x14ac:dyDescent="0.25">
      <c r="B81" s="28" t="s">
        <v>174</v>
      </c>
      <c r="C81" s="34">
        <f>+$C79</f>
        <v>89.800000000000011</v>
      </c>
      <c r="D81" s="34">
        <f>+$D79</f>
        <v>106.08999999999999</v>
      </c>
      <c r="E81" s="34">
        <f>+$E79</f>
        <v>101.98</v>
      </c>
      <c r="F81" s="34">
        <f>+$F79</f>
        <v>162.84</v>
      </c>
      <c r="G81" s="34">
        <f>+$G79</f>
        <v>190.13</v>
      </c>
      <c r="H81" s="34">
        <f>+$H79</f>
        <v>138.28</v>
      </c>
      <c r="I81" s="35">
        <f t="shared" si="0"/>
        <v>789.12</v>
      </c>
      <c r="J81" s="58">
        <f t="shared" ref="J81:J93" si="1">ROUND(I81*$J$76,2)</f>
        <v>789.12</v>
      </c>
      <c r="K81" s="28">
        <f>IF($K$76&gt;20,17,K76-K80)</f>
        <v>0</v>
      </c>
      <c r="L81" s="59">
        <f t="shared" ref="L81:L93" si="2">ROUND(J81*K81,2)</f>
        <v>0</v>
      </c>
      <c r="M81" s="38"/>
    </row>
    <row r="82" spans="2:13" x14ac:dyDescent="0.25">
      <c r="B82" s="28" t="s">
        <v>175</v>
      </c>
      <c r="C82" s="34">
        <f>+$C79</f>
        <v>89.800000000000011</v>
      </c>
      <c r="D82" s="34">
        <f>+$D79*M$82</f>
        <v>103.96819999999998</v>
      </c>
      <c r="E82" s="34">
        <f>+$E79*M$82</f>
        <v>99.940399999999997</v>
      </c>
      <c r="F82" s="34">
        <f>+$F79</f>
        <v>162.84</v>
      </c>
      <c r="G82" s="34">
        <f>+$G79</f>
        <v>190.13</v>
      </c>
      <c r="H82" s="34">
        <f>+$H79</f>
        <v>138.28</v>
      </c>
      <c r="I82" s="35">
        <f t="shared" si="0"/>
        <v>784.95859999999993</v>
      </c>
      <c r="J82" s="58">
        <f t="shared" si="1"/>
        <v>784.96</v>
      </c>
      <c r="K82" s="28">
        <f>IF($K$76&gt;27,7,$K$76-SUM(K80:K81))</f>
        <v>0</v>
      </c>
      <c r="L82" s="59">
        <f t="shared" si="2"/>
        <v>0</v>
      </c>
      <c r="M82" s="53">
        <v>0.98</v>
      </c>
    </row>
    <row r="83" spans="2:13" x14ac:dyDescent="0.25">
      <c r="B83" s="28" t="s">
        <v>176</v>
      </c>
      <c r="C83" s="34">
        <f>+$C79</f>
        <v>89.800000000000011</v>
      </c>
      <c r="D83" s="34">
        <f>+$D79*M$83</f>
        <v>101.84639999999999</v>
      </c>
      <c r="E83" s="34">
        <f>+$E79*M$83</f>
        <v>97.900800000000004</v>
      </c>
      <c r="F83" s="34">
        <f>+$F79</f>
        <v>162.84</v>
      </c>
      <c r="G83" s="34">
        <f>+$G79</f>
        <v>190.13</v>
      </c>
      <c r="H83" s="34">
        <f>+$H79</f>
        <v>138.28</v>
      </c>
      <c r="I83" s="35">
        <f t="shared" si="0"/>
        <v>780.79719999999998</v>
      </c>
      <c r="J83" s="58">
        <f t="shared" si="1"/>
        <v>780.8</v>
      </c>
      <c r="K83" s="28">
        <f>IF($K$76&gt;34,7,$K$76-SUM(K80:K82))</f>
        <v>0</v>
      </c>
      <c r="L83" s="59">
        <f t="shared" si="2"/>
        <v>0</v>
      </c>
      <c r="M83" s="53">
        <f t="shared" ref="M83:M93" si="3">+M82-0.02</f>
        <v>0.96</v>
      </c>
    </row>
    <row r="84" spans="2:13" x14ac:dyDescent="0.25">
      <c r="B84" s="28" t="s">
        <v>177</v>
      </c>
      <c r="C84" s="34">
        <f>+$C79</f>
        <v>89.800000000000011</v>
      </c>
      <c r="D84" s="34">
        <f>+$D79*M$84</f>
        <v>99.724599999999981</v>
      </c>
      <c r="E84" s="34">
        <f>+$E79*M$84</f>
        <v>95.861199999999997</v>
      </c>
      <c r="F84" s="34">
        <f>+$F79</f>
        <v>162.84</v>
      </c>
      <c r="G84" s="34">
        <f>+$G79</f>
        <v>190.13</v>
      </c>
      <c r="H84" s="34">
        <f>+$H79</f>
        <v>138.28</v>
      </c>
      <c r="I84" s="35">
        <f t="shared" si="0"/>
        <v>776.63580000000002</v>
      </c>
      <c r="J84" s="58">
        <f t="shared" si="1"/>
        <v>776.64</v>
      </c>
      <c r="K84" s="28">
        <f>IF($K$76&gt;41,7,$K$76-SUM(K80:K83))</f>
        <v>0</v>
      </c>
      <c r="L84" s="59">
        <f t="shared" si="2"/>
        <v>0</v>
      </c>
      <c r="M84" s="53">
        <f t="shared" si="3"/>
        <v>0.94</v>
      </c>
    </row>
    <row r="85" spans="2:13" x14ac:dyDescent="0.25">
      <c r="B85" s="28" t="s">
        <v>178</v>
      </c>
      <c r="C85" s="34">
        <f>+$C79</f>
        <v>89.800000000000011</v>
      </c>
      <c r="D85" s="34">
        <f>+$D79*M$85</f>
        <v>97.602799999999988</v>
      </c>
      <c r="E85" s="34">
        <f>+$E79*M$85</f>
        <v>93.821599999999989</v>
      </c>
      <c r="F85" s="34">
        <f>+$F79</f>
        <v>162.84</v>
      </c>
      <c r="G85" s="34">
        <f>+$G79</f>
        <v>190.13</v>
      </c>
      <c r="H85" s="34">
        <f>+$H79</f>
        <v>138.28</v>
      </c>
      <c r="I85" s="35">
        <f t="shared" si="0"/>
        <v>772.47439999999995</v>
      </c>
      <c r="J85" s="58">
        <f t="shared" si="1"/>
        <v>772.47</v>
      </c>
      <c r="K85" s="28">
        <f>IF($K$76&gt;48,7,$K$76-SUM(K80:K84))</f>
        <v>0</v>
      </c>
      <c r="L85" s="59">
        <f t="shared" si="2"/>
        <v>0</v>
      </c>
      <c r="M85" s="53">
        <f t="shared" si="3"/>
        <v>0.91999999999999993</v>
      </c>
    </row>
    <row r="86" spans="2:13" x14ac:dyDescent="0.25">
      <c r="B86" s="28" t="s">
        <v>179</v>
      </c>
      <c r="C86" s="34">
        <f>+$C79</f>
        <v>89.800000000000011</v>
      </c>
      <c r="D86" s="34">
        <f>+$D79*M$86</f>
        <v>95.48099999999998</v>
      </c>
      <c r="E86" s="34">
        <f>+$E79*M$86</f>
        <v>91.781999999999996</v>
      </c>
      <c r="F86" s="34">
        <f>+$F79</f>
        <v>162.84</v>
      </c>
      <c r="G86" s="34">
        <f>+$G79</f>
        <v>190.13</v>
      </c>
      <c r="H86" s="34">
        <f>+$H79</f>
        <v>138.28</v>
      </c>
      <c r="I86" s="35">
        <f t="shared" si="0"/>
        <v>768.31299999999999</v>
      </c>
      <c r="J86" s="58">
        <f t="shared" si="1"/>
        <v>768.31</v>
      </c>
      <c r="K86" s="28">
        <f>IF($K$76&gt;55,7,$K$76-SUM(K80:K85))</f>
        <v>0</v>
      </c>
      <c r="L86" s="59">
        <f t="shared" si="2"/>
        <v>0</v>
      </c>
      <c r="M86" s="53">
        <f t="shared" si="3"/>
        <v>0.89999999999999991</v>
      </c>
    </row>
    <row r="87" spans="2:13" x14ac:dyDescent="0.25">
      <c r="B87" s="28" t="s">
        <v>261</v>
      </c>
      <c r="C87" s="34">
        <f>+$C79</f>
        <v>89.800000000000011</v>
      </c>
      <c r="D87" s="34">
        <f>+$D79*M$87</f>
        <v>93.359199999999973</v>
      </c>
      <c r="E87" s="34">
        <f>+$E79*M$87</f>
        <v>89.742399999999989</v>
      </c>
      <c r="F87" s="34">
        <f>+$F79</f>
        <v>162.84</v>
      </c>
      <c r="G87" s="34">
        <f>+$G79</f>
        <v>190.13</v>
      </c>
      <c r="H87" s="34">
        <f>+$H79</f>
        <v>138.28</v>
      </c>
      <c r="I87" s="35">
        <f t="shared" si="0"/>
        <v>764.15159999999992</v>
      </c>
      <c r="J87" s="58">
        <f t="shared" si="1"/>
        <v>764.15</v>
      </c>
      <c r="K87" s="28">
        <f>IF($K$76&gt;62,7,$K$76-SUM(K80:K86))</f>
        <v>0</v>
      </c>
      <c r="L87" s="59">
        <f t="shared" si="2"/>
        <v>0</v>
      </c>
      <c r="M87" s="53">
        <f t="shared" si="3"/>
        <v>0.87999999999999989</v>
      </c>
    </row>
    <row r="88" spans="2:13" x14ac:dyDescent="0.25">
      <c r="B88" s="28" t="s">
        <v>183</v>
      </c>
      <c r="C88" s="34">
        <f>+$C79</f>
        <v>89.800000000000011</v>
      </c>
      <c r="D88" s="34">
        <f>+$D79*M$88</f>
        <v>91.23739999999998</v>
      </c>
      <c r="E88" s="34">
        <f>+$E79*M$88</f>
        <v>87.702799999999996</v>
      </c>
      <c r="F88" s="34">
        <f>+$F79</f>
        <v>162.84</v>
      </c>
      <c r="G88" s="34">
        <f>+$G79</f>
        <v>190.13</v>
      </c>
      <c r="H88" s="34">
        <f>+$H79</f>
        <v>138.28</v>
      </c>
      <c r="I88" s="35">
        <f t="shared" si="0"/>
        <v>759.99019999999996</v>
      </c>
      <c r="J88" s="58">
        <f t="shared" si="1"/>
        <v>759.99</v>
      </c>
      <c r="K88" s="28">
        <f>IF($K$76&gt;69,7,$K$76-SUM(K80:K87))</f>
        <v>0</v>
      </c>
      <c r="L88" s="59">
        <f t="shared" si="2"/>
        <v>0</v>
      </c>
      <c r="M88" s="53">
        <f t="shared" si="3"/>
        <v>0.85999999999999988</v>
      </c>
    </row>
    <row r="89" spans="2:13" x14ac:dyDescent="0.25">
      <c r="B89" s="28" t="s">
        <v>184</v>
      </c>
      <c r="C89" s="34">
        <f>+$C79</f>
        <v>89.800000000000011</v>
      </c>
      <c r="D89" s="34">
        <f>+$D79*M$89</f>
        <v>89.115599999999972</v>
      </c>
      <c r="E89" s="34">
        <f>+$E79*M$89</f>
        <v>85.663199999999989</v>
      </c>
      <c r="F89" s="34">
        <f>+$F79</f>
        <v>162.84</v>
      </c>
      <c r="G89" s="34">
        <f>+$G79</f>
        <v>190.13</v>
      </c>
      <c r="H89" s="34">
        <f>+$H79</f>
        <v>138.28</v>
      </c>
      <c r="I89" s="35">
        <f t="shared" si="0"/>
        <v>755.8288</v>
      </c>
      <c r="J89" s="58">
        <f t="shared" si="1"/>
        <v>755.83</v>
      </c>
      <c r="K89" s="28">
        <f>IF($K$76&gt;76,7,$K$76-SUM(K80:K88))</f>
        <v>0</v>
      </c>
      <c r="L89" s="59">
        <f t="shared" si="2"/>
        <v>0</v>
      </c>
      <c r="M89" s="53">
        <f t="shared" si="3"/>
        <v>0.83999999999999986</v>
      </c>
    </row>
    <row r="90" spans="2:13" x14ac:dyDescent="0.25">
      <c r="B90" s="28" t="s">
        <v>185</v>
      </c>
      <c r="C90" s="34">
        <f>+$C79</f>
        <v>89.800000000000011</v>
      </c>
      <c r="D90" s="34">
        <f>+$D79*M$90</f>
        <v>86.993799999999979</v>
      </c>
      <c r="E90" s="34">
        <f>+$E79*M$90</f>
        <v>83.623599999999982</v>
      </c>
      <c r="F90" s="34">
        <f>+$F79</f>
        <v>162.84</v>
      </c>
      <c r="G90" s="34">
        <f>+$G79</f>
        <v>190.13</v>
      </c>
      <c r="H90" s="34">
        <f>+$H79</f>
        <v>138.28</v>
      </c>
      <c r="I90" s="35">
        <f t="shared" si="0"/>
        <v>751.66739999999993</v>
      </c>
      <c r="J90" s="58">
        <f t="shared" si="1"/>
        <v>751.67</v>
      </c>
      <c r="K90" s="28">
        <f>IF($K$76&gt;83,7,$K$76-SUM(K80:K89))</f>
        <v>0</v>
      </c>
      <c r="L90" s="59">
        <f t="shared" si="2"/>
        <v>0</v>
      </c>
      <c r="M90" s="53">
        <f t="shared" si="3"/>
        <v>0.81999999999999984</v>
      </c>
    </row>
    <row r="91" spans="2:13" x14ac:dyDescent="0.25">
      <c r="B91" s="28" t="s">
        <v>186</v>
      </c>
      <c r="C91" s="34">
        <f>+$C79</f>
        <v>89.800000000000011</v>
      </c>
      <c r="D91" s="34">
        <f>+$D79*M$91</f>
        <v>84.871999999999971</v>
      </c>
      <c r="E91" s="34">
        <f>+$E79*M$91</f>
        <v>81.583999999999989</v>
      </c>
      <c r="F91" s="34">
        <f>+$F79</f>
        <v>162.84</v>
      </c>
      <c r="G91" s="34">
        <f>+$G79</f>
        <v>190.13</v>
      </c>
      <c r="H91" s="34">
        <f>+$H79</f>
        <v>138.28</v>
      </c>
      <c r="I91" s="35">
        <f t="shared" si="0"/>
        <v>747.50599999999997</v>
      </c>
      <c r="J91" s="58">
        <f t="shared" si="1"/>
        <v>747.51</v>
      </c>
      <c r="K91" s="28">
        <f>IF($K$76&gt;90,7,$K$76-SUM(K80:K90))</f>
        <v>0</v>
      </c>
      <c r="L91" s="59">
        <f t="shared" si="2"/>
        <v>0</v>
      </c>
      <c r="M91" s="53">
        <f t="shared" si="3"/>
        <v>0.79999999999999982</v>
      </c>
    </row>
    <row r="92" spans="2:13" x14ac:dyDescent="0.25">
      <c r="B92" s="28" t="s">
        <v>260</v>
      </c>
      <c r="C92" s="34">
        <f>+$C79</f>
        <v>89.800000000000011</v>
      </c>
      <c r="D92" s="34">
        <f>+$D79*M$92</f>
        <v>82.750199999999964</v>
      </c>
      <c r="E92" s="34">
        <f>+$E79*M$92</f>
        <v>79.544399999999982</v>
      </c>
      <c r="F92" s="34">
        <f>+$F79</f>
        <v>162.84</v>
      </c>
      <c r="G92" s="34">
        <f>+$G79</f>
        <v>190.13</v>
      </c>
      <c r="H92" s="34">
        <f>+$H79</f>
        <v>138.28</v>
      </c>
      <c r="I92" s="35">
        <f t="shared" si="0"/>
        <v>743.3445999999999</v>
      </c>
      <c r="J92" s="58">
        <f t="shared" si="1"/>
        <v>743.34</v>
      </c>
      <c r="K92" s="28">
        <f>IF($K$76&gt;97,7,$K$76-SUM(K80:K91))</f>
        <v>0</v>
      </c>
      <c r="L92" s="59">
        <f t="shared" si="2"/>
        <v>0</v>
      </c>
      <c r="M92" s="53">
        <f t="shared" si="3"/>
        <v>0.7799999999999998</v>
      </c>
    </row>
    <row r="93" spans="2:13" x14ac:dyDescent="0.25">
      <c r="B93" s="28" t="s">
        <v>187</v>
      </c>
      <c r="C93" s="34">
        <f>+$C79</f>
        <v>89.800000000000011</v>
      </c>
      <c r="D93" s="34">
        <f>+$D79*M$93</f>
        <v>80.628399999999971</v>
      </c>
      <c r="E93" s="34">
        <f>+$E79*M$93</f>
        <v>77.504799999999975</v>
      </c>
      <c r="F93" s="34">
        <f>+$F79</f>
        <v>162.84</v>
      </c>
      <c r="G93" s="34">
        <f>+$G79</f>
        <v>190.13</v>
      </c>
      <c r="H93" s="34">
        <f>+$H79</f>
        <v>138.28</v>
      </c>
      <c r="I93" s="35">
        <f t="shared" si="0"/>
        <v>739.18319999999994</v>
      </c>
      <c r="J93" s="58">
        <f t="shared" si="1"/>
        <v>739.18</v>
      </c>
      <c r="K93" s="28">
        <f>IF($K$76&gt;=100,3,$K$76-SUM(K80:K92))</f>
        <v>0</v>
      </c>
      <c r="L93" s="59">
        <f t="shared" si="2"/>
        <v>0</v>
      </c>
      <c r="M93" s="53">
        <f t="shared" si="3"/>
        <v>0.75999999999999979</v>
      </c>
    </row>
    <row r="94" spans="2:13" x14ac:dyDescent="0.25">
      <c r="K94" s="28">
        <f>SUM(K80:K93)</f>
        <v>0</v>
      </c>
      <c r="L94" s="59">
        <f>SUM(L80:L93)</f>
        <v>0</v>
      </c>
    </row>
    <row r="95" spans="2:13" x14ac:dyDescent="0.25">
      <c r="B95" t="s">
        <v>288</v>
      </c>
    </row>
  </sheetData>
  <sheetProtection algorithmName="SHA-512" hashValue="Ozf2mYMyAdIed7Jc5tHMY/ykKidOoW4q+ey9EfPhxsm1yU2WUjFIF1VpG6/ddWY8m6/BLqhOPMN/bhzjg352PQ==" saltValue="9hSB30edTgKKg5Fsp4vA7Q==" spinCount="100000" sheet="1" objects="1" scenarios="1"/>
  <mergeCells count="2">
    <mergeCell ref="B1:L1"/>
    <mergeCell ref="B2:L2"/>
  </mergeCells>
  <conditionalFormatting sqref="C67:D71 F67:G71 I67:I71 K67:K71">
    <cfRule type="expression" dxfId="4" priority="7">
      <formula>IF($C67=$C$78,1,0)</formula>
    </cfRule>
  </conditionalFormatting>
  <conditionalFormatting sqref="K78">
    <cfRule type="expression" dxfId="3" priority="1">
      <formula>IF(K76&gt;0,0,1)</formula>
    </cfRule>
  </conditionalFormatting>
  <conditionalFormatting sqref="K79:K94">
    <cfRule type="expression" dxfId="2" priority="5">
      <formula>IF(K79=0,1,0)</formula>
    </cfRule>
  </conditionalFormatting>
  <conditionalFormatting sqref="L78">
    <cfRule type="expression" dxfId="1" priority="2">
      <formula>IF(K76&gt;0,0,1)</formula>
    </cfRule>
  </conditionalFormatting>
  <conditionalFormatting sqref="L80:L94">
    <cfRule type="expression" dxfId="0" priority="3">
      <formula>IF(L80=0,1,0)</formula>
    </cfRule>
  </conditionalFormatting>
  <dataValidations count="1">
    <dataValidation type="whole" allowBlank="1" showErrorMessage="1" errorTitle="Data Validation" error="Please enter a whole number between 1 and 100" sqref="K76" xr:uid="{00000000-0002-0000-0000-000000000000}">
      <formula1>1</formula1>
      <formula2>100</formula2>
    </dataValidation>
  </dataValidations>
  <pageMargins left="0.7" right="0.7" top="0.75" bottom="0.75" header="0.3" footer="0.3"/>
  <pageSetup scale="75" orientation="landscape" r:id="rId1"/>
  <headerFooter>
    <oddFooter>&amp;L&amp;"Arial,Regular"&amp;12Http://www.AxiomHC.com&amp;C&amp;"Arial,Regular"&amp;12Axiom Healthcare Group&amp;R&amp;"Arial,Regular"&amp;12Pag &amp;P of &amp;N</oddFooter>
  </headerFooter>
  <rowBreaks count="2" manualBreakCount="2">
    <brk id="38" max="11" man="1"/>
    <brk id="7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152400</xdr:rowOff>
                  </from>
                  <to>
                    <xdr:col>3</xdr:col>
                    <xdr:colOff>628650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2</xdr:col>
                    <xdr:colOff>0</xdr:colOff>
                    <xdr:row>76</xdr:row>
                    <xdr:rowOff>171450</xdr:rowOff>
                  </from>
                  <to>
                    <xdr:col>3</xdr:col>
                    <xdr:colOff>9525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locked="0" defaultSize="0" autoLine="0" autoPict="0">
                <anchor moveWithCells="1">
                  <from>
                    <xdr:col>3</xdr:col>
                    <xdr:colOff>0</xdr:colOff>
                    <xdr:row>76</xdr:row>
                    <xdr:rowOff>171450</xdr:rowOff>
                  </from>
                  <to>
                    <xdr:col>4</xdr:col>
                    <xdr:colOff>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locked="0" defaultSize="0" autoLine="0" autoPict="0">
                <anchor moveWithCells="1">
                  <from>
                    <xdr:col>5</xdr:col>
                    <xdr:colOff>0</xdr:colOff>
                    <xdr:row>76</xdr:row>
                    <xdr:rowOff>161925</xdr:rowOff>
                  </from>
                  <to>
                    <xdr:col>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locked="0" defaultSize="0" autoLine="0" autoPict="0">
                <anchor moveWithCells="1">
                  <from>
                    <xdr:col>6</xdr:col>
                    <xdr:colOff>0</xdr:colOff>
                    <xdr:row>76</xdr:row>
                    <xdr:rowOff>161925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Nursing!$C$14:$C$38</xm:f>
          </x14:formula1>
          <xm:sqref>C78</xm:sqref>
        </x14:dataValidation>
        <x14:dataValidation type="list" allowBlank="1" showInputMessage="1" showErrorMessage="1" xr:uid="{00000000-0002-0000-0000-000002000000}">
          <x14:formula1>
            <xm:f>'PT &amp; OT'!$B$14:$B$29</xm:f>
          </x14:formula1>
          <xm:sqref>D78</xm:sqref>
        </x14:dataValidation>
        <x14:dataValidation type="list" allowBlank="1" showInputMessage="1" showErrorMessage="1" xr:uid="{00000000-0002-0000-0000-000003000000}">
          <x14:formula1>
            <xm:f>SLP!$B$14:$B$25</xm:f>
          </x14:formula1>
          <xm:sqref>F78</xm:sqref>
        </x14:dataValidation>
        <x14:dataValidation type="list" allowBlank="1" showInputMessage="1" showErrorMessage="1" xr:uid="{00000000-0002-0000-0000-000004000000}">
          <x14:formula1>
            <xm:f>NTA!$B$14:$B$19</xm:f>
          </x14:formula1>
          <xm:sqref>G78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R50"/>
  <sheetViews>
    <sheetView showGridLines="0" workbookViewId="0">
      <selection activeCell="E10" sqref="E10"/>
    </sheetView>
  </sheetViews>
  <sheetFormatPr defaultRowHeight="15" x14ac:dyDescent="0.25"/>
  <cols>
    <col min="1" max="1" width="2.7109375" customWidth="1"/>
    <col min="2" max="2" width="12.85546875" customWidth="1"/>
    <col min="3" max="3" width="10.5703125" bestFit="1" customWidth="1"/>
    <col min="6" max="7" width="11.5703125" bestFit="1" customWidth="1"/>
    <col min="8" max="8" width="10.28515625" bestFit="1" customWidth="1"/>
    <col min="10" max="10" width="0" hidden="1" customWidth="1"/>
    <col min="13" max="13" width="12" bestFit="1" customWidth="1"/>
    <col min="14" max="14" width="26" bestFit="1" customWidth="1"/>
    <col min="15" max="15" width="77.140625" bestFit="1" customWidth="1"/>
    <col min="16" max="16" width="11" bestFit="1" customWidth="1"/>
    <col min="17" max="17" width="36.140625" bestFit="1" customWidth="1"/>
    <col min="18" max="18" width="23.42578125" bestFit="1" customWidth="1"/>
  </cols>
  <sheetData>
    <row r="2" spans="1:18" x14ac:dyDescent="0.25">
      <c r="B2" t="s">
        <v>70</v>
      </c>
      <c r="C2" s="18" t="str">
        <f>+Summary!C5</f>
        <v xml:space="preserve">California </v>
      </c>
    </row>
    <row r="3" spans="1:18" x14ac:dyDescent="0.25">
      <c r="B3" t="s">
        <v>78</v>
      </c>
      <c r="C3" s="18">
        <f>+Summary!C6</f>
        <v>5</v>
      </c>
    </row>
    <row r="4" spans="1:18" x14ac:dyDescent="0.25">
      <c r="B4" t="s">
        <v>251</v>
      </c>
      <c r="C4" t="str">
        <f>+Summary!C7</f>
        <v xml:space="preserve">California </v>
      </c>
    </row>
    <row r="5" spans="1:18" x14ac:dyDescent="0.25">
      <c r="B5" t="s">
        <v>66</v>
      </c>
      <c r="C5" s="17">
        <f>+Summary!C8</f>
        <v>1.2602</v>
      </c>
    </row>
    <row r="8" spans="1:18" x14ac:dyDescent="0.25">
      <c r="B8" s="21" t="s">
        <v>0</v>
      </c>
      <c r="C8" s="22"/>
      <c r="D8" s="23"/>
      <c r="E8" s="7" t="s">
        <v>5</v>
      </c>
    </row>
    <row r="9" spans="1:18" x14ac:dyDescent="0.25">
      <c r="B9" s="21" t="s">
        <v>1</v>
      </c>
      <c r="C9" s="22"/>
      <c r="D9" s="23"/>
      <c r="E9" s="11">
        <f>+'Federal Register Tables'!F10</f>
        <v>121.99</v>
      </c>
    </row>
    <row r="11" spans="1:18" x14ac:dyDescent="0.25">
      <c r="F11" s="9">
        <f>+'Federal Register Tables'!C76</f>
        <v>0.72</v>
      </c>
      <c r="G11" s="20">
        <f>+C5</f>
        <v>1.2602</v>
      </c>
      <c r="H11" s="9">
        <f>1-F11</f>
        <v>0.28000000000000003</v>
      </c>
    </row>
    <row r="12" spans="1:18" x14ac:dyDescent="0.25">
      <c r="B12" s="4" t="s">
        <v>8</v>
      </c>
      <c r="C12" s="4" t="s">
        <v>5</v>
      </c>
      <c r="D12" s="4" t="s">
        <v>5</v>
      </c>
      <c r="E12" s="4" t="s">
        <v>5</v>
      </c>
      <c r="F12" s="4" t="s">
        <v>5</v>
      </c>
      <c r="G12" s="4" t="s">
        <v>66</v>
      </c>
      <c r="H12" s="4" t="s">
        <v>5</v>
      </c>
      <c r="I12" s="4" t="s">
        <v>63</v>
      </c>
      <c r="J12" s="4" t="s">
        <v>80</v>
      </c>
      <c r="M12" s="4" t="s">
        <v>156</v>
      </c>
      <c r="N12" s="4"/>
      <c r="O12" s="4"/>
      <c r="P12" s="4"/>
      <c r="Q12" s="4"/>
      <c r="R12" s="4"/>
    </row>
    <row r="13" spans="1:18" x14ac:dyDescent="0.25">
      <c r="B13" s="5" t="s">
        <v>9</v>
      </c>
      <c r="C13" s="5" t="s">
        <v>12</v>
      </c>
      <c r="D13" s="5" t="s">
        <v>10</v>
      </c>
      <c r="E13" s="5" t="s">
        <v>11</v>
      </c>
      <c r="F13" s="5" t="s">
        <v>65</v>
      </c>
      <c r="G13" s="5" t="s">
        <v>79</v>
      </c>
      <c r="H13" s="5" t="s">
        <v>67</v>
      </c>
      <c r="I13" s="5" t="s">
        <v>5</v>
      </c>
      <c r="J13" s="5" t="s">
        <v>81</v>
      </c>
      <c r="M13" s="5" t="s">
        <v>157</v>
      </c>
      <c r="N13" s="5" t="s">
        <v>117</v>
      </c>
      <c r="O13" s="5" t="s">
        <v>118</v>
      </c>
      <c r="P13" s="5" t="s">
        <v>119</v>
      </c>
      <c r="Q13" s="5" t="s">
        <v>120</v>
      </c>
      <c r="R13" s="5" t="s">
        <v>121</v>
      </c>
    </row>
    <row r="14" spans="1:18" x14ac:dyDescent="0.25">
      <c r="A14">
        <v>1</v>
      </c>
      <c r="B14" s="7" t="str">
        <f>+'Federal Register Tables'!B19</f>
        <v>A</v>
      </c>
      <c r="C14" s="2" t="str">
        <f>+'Federal Register Tables'!I19</f>
        <v>ES3</v>
      </c>
      <c r="D14" s="8">
        <f>+'Federal Register Tables'!J19</f>
        <v>3.84</v>
      </c>
      <c r="E14" s="8">
        <f>+'Federal Register Tables'!K19</f>
        <v>468.44</v>
      </c>
      <c r="F14" s="8">
        <f>ROUND(E14*$F$11,2)</f>
        <v>337.28</v>
      </c>
      <c r="G14" s="8">
        <f>ROUND(+F14*$G$11,2)</f>
        <v>425.04</v>
      </c>
      <c r="H14" s="8">
        <f>ROUND(E14*$H$11,2)</f>
        <v>131.16</v>
      </c>
      <c r="I14" s="8">
        <f>+G14+H14</f>
        <v>556.20000000000005</v>
      </c>
      <c r="J14" s="8">
        <f t="shared" ref="J14:J38" si="0">ROUND(+$E$9*D14,2)-E14</f>
        <v>0</v>
      </c>
      <c r="M14" s="8" t="s">
        <v>38</v>
      </c>
      <c r="N14" s="8" t="s">
        <v>122</v>
      </c>
      <c r="O14" s="8"/>
      <c r="P14" s="8"/>
      <c r="Q14" s="8"/>
      <c r="R14" s="8" t="s">
        <v>123</v>
      </c>
    </row>
    <row r="15" spans="1:18" x14ac:dyDescent="0.25">
      <c r="A15">
        <v>2</v>
      </c>
      <c r="B15" s="7" t="str">
        <f>+'Federal Register Tables'!B20</f>
        <v>B</v>
      </c>
      <c r="C15" s="2" t="str">
        <f>+'Federal Register Tables'!I20</f>
        <v>ES2</v>
      </c>
      <c r="D15" s="8">
        <f>+'Federal Register Tables'!J20</f>
        <v>2.9</v>
      </c>
      <c r="E15" s="8">
        <f>+'Federal Register Tables'!K20</f>
        <v>353.77</v>
      </c>
      <c r="F15" s="8">
        <f t="shared" ref="F15:F38" si="1">ROUND(E15*$F$11,2)</f>
        <v>254.71</v>
      </c>
      <c r="G15" s="8">
        <f t="shared" ref="G15:G38" si="2">ROUND(+F15*$G$11,2)</f>
        <v>320.99</v>
      </c>
      <c r="H15" s="8">
        <f t="shared" ref="H15:H38" si="3">ROUND(E15*$H$11,2)</f>
        <v>99.06</v>
      </c>
      <c r="I15" s="8">
        <f t="shared" ref="I15:I38" si="4">+G15+H15</f>
        <v>420.05</v>
      </c>
      <c r="J15" s="8">
        <f t="shared" si="0"/>
        <v>0</v>
      </c>
      <c r="M15" s="8" t="s">
        <v>39</v>
      </c>
      <c r="N15" s="8" t="s">
        <v>124</v>
      </c>
      <c r="O15" s="8"/>
      <c r="P15" s="8"/>
      <c r="Q15" s="8"/>
      <c r="R15" s="8" t="s">
        <v>123</v>
      </c>
    </row>
    <row r="16" spans="1:18" x14ac:dyDescent="0.25">
      <c r="A16">
        <v>3</v>
      </c>
      <c r="B16" s="7" t="str">
        <f>+'Federal Register Tables'!B21</f>
        <v>C</v>
      </c>
      <c r="C16" s="2" t="str">
        <f>+'Federal Register Tables'!I21</f>
        <v>ES1</v>
      </c>
      <c r="D16" s="8">
        <f>+'Federal Register Tables'!J21</f>
        <v>2.77</v>
      </c>
      <c r="E16" s="8">
        <f>+'Federal Register Tables'!K21</f>
        <v>337.91</v>
      </c>
      <c r="F16" s="8">
        <f t="shared" si="1"/>
        <v>243.3</v>
      </c>
      <c r="G16" s="8">
        <f t="shared" si="2"/>
        <v>306.61</v>
      </c>
      <c r="H16" s="8">
        <f t="shared" si="3"/>
        <v>94.61</v>
      </c>
      <c r="I16" s="8">
        <f t="shared" si="4"/>
        <v>401.22</v>
      </c>
      <c r="J16" s="8">
        <f t="shared" si="0"/>
        <v>0</v>
      </c>
      <c r="M16" s="8" t="s">
        <v>40</v>
      </c>
      <c r="N16" s="8" t="s">
        <v>125</v>
      </c>
      <c r="O16" s="8"/>
      <c r="P16" s="8"/>
      <c r="Q16" s="8"/>
      <c r="R16" s="8" t="s">
        <v>123</v>
      </c>
    </row>
    <row r="17" spans="1:18" x14ac:dyDescent="0.25">
      <c r="A17">
        <v>4</v>
      </c>
      <c r="B17" s="7" t="str">
        <f>+'Federal Register Tables'!B22</f>
        <v>D</v>
      </c>
      <c r="C17" s="2" t="str">
        <f>+'Federal Register Tables'!I22</f>
        <v>HDE2</v>
      </c>
      <c r="D17" s="8">
        <f>+'Federal Register Tables'!J22</f>
        <v>2.27</v>
      </c>
      <c r="E17" s="8">
        <f>+'Federal Register Tables'!K22</f>
        <v>276.92</v>
      </c>
      <c r="F17" s="8">
        <f t="shared" si="1"/>
        <v>199.38</v>
      </c>
      <c r="G17" s="8">
        <f t="shared" si="2"/>
        <v>251.26</v>
      </c>
      <c r="H17" s="8">
        <f t="shared" si="3"/>
        <v>77.540000000000006</v>
      </c>
      <c r="I17" s="8">
        <f t="shared" si="4"/>
        <v>328.8</v>
      </c>
      <c r="J17" s="8">
        <f t="shared" si="0"/>
        <v>0</v>
      </c>
      <c r="M17" s="8" t="s">
        <v>126</v>
      </c>
      <c r="N17" s="8"/>
      <c r="O17" s="8" t="s">
        <v>127</v>
      </c>
      <c r="P17" s="8" t="s">
        <v>128</v>
      </c>
      <c r="Q17" s="8"/>
      <c r="R17" s="8" t="s">
        <v>109</v>
      </c>
    </row>
    <row r="18" spans="1:18" x14ac:dyDescent="0.25">
      <c r="A18">
        <v>5</v>
      </c>
      <c r="B18" s="7" t="str">
        <f>+'Federal Register Tables'!B23</f>
        <v>E</v>
      </c>
      <c r="C18" s="2" t="str">
        <f>+'Federal Register Tables'!I23</f>
        <v>HDE1</v>
      </c>
      <c r="D18" s="8">
        <f>+'Federal Register Tables'!J23</f>
        <v>1.88</v>
      </c>
      <c r="E18" s="8">
        <f>+'Federal Register Tables'!K23</f>
        <v>229.34</v>
      </c>
      <c r="F18" s="8">
        <f t="shared" si="1"/>
        <v>165.12</v>
      </c>
      <c r="G18" s="8">
        <f t="shared" si="2"/>
        <v>208.08</v>
      </c>
      <c r="H18" s="8">
        <f t="shared" si="3"/>
        <v>64.22</v>
      </c>
      <c r="I18" s="8">
        <f t="shared" si="4"/>
        <v>272.3</v>
      </c>
      <c r="J18" s="8">
        <f t="shared" si="0"/>
        <v>0</v>
      </c>
      <c r="M18" s="8" t="s">
        <v>129</v>
      </c>
      <c r="N18" s="8"/>
      <c r="O18" s="8" t="s">
        <v>127</v>
      </c>
      <c r="P18" s="8" t="s">
        <v>130</v>
      </c>
      <c r="Q18" s="8"/>
      <c r="R18" s="8" t="s">
        <v>109</v>
      </c>
    </row>
    <row r="19" spans="1:18" x14ac:dyDescent="0.25">
      <c r="A19">
        <v>6</v>
      </c>
      <c r="B19" s="7" t="str">
        <f>+'Federal Register Tables'!B24</f>
        <v>F</v>
      </c>
      <c r="C19" s="2" t="str">
        <f>+'Federal Register Tables'!I24</f>
        <v>HBC2</v>
      </c>
      <c r="D19" s="8">
        <f>+'Federal Register Tables'!J24</f>
        <v>2.12</v>
      </c>
      <c r="E19" s="8">
        <f>+'Federal Register Tables'!K24</f>
        <v>258.62</v>
      </c>
      <c r="F19" s="8">
        <f t="shared" si="1"/>
        <v>186.21</v>
      </c>
      <c r="G19" s="8">
        <f t="shared" si="2"/>
        <v>234.66</v>
      </c>
      <c r="H19" s="8">
        <f t="shared" si="3"/>
        <v>72.41</v>
      </c>
      <c r="I19" s="8">
        <f t="shared" si="4"/>
        <v>307.07</v>
      </c>
      <c r="J19" s="8">
        <f t="shared" si="0"/>
        <v>0</v>
      </c>
      <c r="M19" s="8" t="s">
        <v>131</v>
      </c>
      <c r="N19" s="8"/>
      <c r="O19" s="8" t="s">
        <v>127</v>
      </c>
      <c r="P19" s="8" t="s">
        <v>128</v>
      </c>
      <c r="Q19" s="8"/>
      <c r="R19" s="8" t="s">
        <v>132</v>
      </c>
    </row>
    <row r="20" spans="1:18" x14ac:dyDescent="0.25">
      <c r="A20">
        <v>7</v>
      </c>
      <c r="B20" s="7" t="str">
        <f>+'Federal Register Tables'!B25</f>
        <v>G</v>
      </c>
      <c r="C20" s="2" t="str">
        <f>+'Federal Register Tables'!I25</f>
        <v>HBC1</v>
      </c>
      <c r="D20" s="8">
        <f>+'Federal Register Tables'!J25</f>
        <v>1.76</v>
      </c>
      <c r="E20" s="8">
        <f>+'Federal Register Tables'!K25</f>
        <v>214.7</v>
      </c>
      <c r="F20" s="8">
        <f t="shared" si="1"/>
        <v>154.58000000000001</v>
      </c>
      <c r="G20" s="8">
        <f t="shared" si="2"/>
        <v>194.8</v>
      </c>
      <c r="H20" s="8">
        <f t="shared" si="3"/>
        <v>60.12</v>
      </c>
      <c r="I20" s="8">
        <f t="shared" si="4"/>
        <v>254.92000000000002</v>
      </c>
      <c r="J20" s="8">
        <f t="shared" si="0"/>
        <v>0</v>
      </c>
      <c r="M20" s="8" t="s">
        <v>133</v>
      </c>
      <c r="N20" s="8"/>
      <c r="O20" s="8" t="s">
        <v>127</v>
      </c>
      <c r="P20" s="8" t="s">
        <v>130</v>
      </c>
      <c r="Q20" s="8"/>
      <c r="R20" s="8" t="s">
        <v>132</v>
      </c>
    </row>
    <row r="21" spans="1:18" x14ac:dyDescent="0.25">
      <c r="A21">
        <v>8</v>
      </c>
      <c r="B21" s="7" t="str">
        <f>+'Federal Register Tables'!B26</f>
        <v>H</v>
      </c>
      <c r="C21" s="2" t="str">
        <f>+'Federal Register Tables'!I26</f>
        <v>LDE2</v>
      </c>
      <c r="D21" s="8">
        <f>+'Federal Register Tables'!J26</f>
        <v>1.97</v>
      </c>
      <c r="E21" s="8">
        <f>+'Federal Register Tables'!K26</f>
        <v>240.32</v>
      </c>
      <c r="F21" s="8">
        <f t="shared" si="1"/>
        <v>173.03</v>
      </c>
      <c r="G21" s="8">
        <f t="shared" si="2"/>
        <v>218.05</v>
      </c>
      <c r="H21" s="8">
        <f t="shared" si="3"/>
        <v>67.290000000000006</v>
      </c>
      <c r="I21" s="8">
        <f t="shared" si="4"/>
        <v>285.34000000000003</v>
      </c>
      <c r="J21" s="8">
        <f t="shared" si="0"/>
        <v>0</v>
      </c>
      <c r="M21" s="8" t="s">
        <v>134</v>
      </c>
      <c r="N21" s="8"/>
      <c r="O21" s="8" t="s">
        <v>135</v>
      </c>
      <c r="P21" s="8" t="s">
        <v>128</v>
      </c>
      <c r="Q21" s="8"/>
      <c r="R21" s="8" t="s">
        <v>109</v>
      </c>
    </row>
    <row r="22" spans="1:18" x14ac:dyDescent="0.25">
      <c r="A22">
        <v>9</v>
      </c>
      <c r="B22" s="7" t="str">
        <f>+'Federal Register Tables'!B27</f>
        <v>I</v>
      </c>
      <c r="C22" s="2" t="str">
        <f>+'Federal Register Tables'!I27</f>
        <v>LDE1</v>
      </c>
      <c r="D22" s="8">
        <f>+'Federal Register Tables'!J27</f>
        <v>1.64</v>
      </c>
      <c r="E22" s="8">
        <f>+'Federal Register Tables'!K27</f>
        <v>200.06</v>
      </c>
      <c r="F22" s="8">
        <f t="shared" si="1"/>
        <v>144.04</v>
      </c>
      <c r="G22" s="8">
        <f t="shared" si="2"/>
        <v>181.52</v>
      </c>
      <c r="H22" s="8">
        <f t="shared" si="3"/>
        <v>56.02</v>
      </c>
      <c r="I22" s="8">
        <f t="shared" si="4"/>
        <v>237.54000000000002</v>
      </c>
      <c r="J22" s="8">
        <f t="shared" si="0"/>
        <v>0</v>
      </c>
      <c r="M22" s="8" t="s">
        <v>136</v>
      </c>
      <c r="N22" s="8"/>
      <c r="O22" s="8" t="s">
        <v>135</v>
      </c>
      <c r="P22" s="8" t="s">
        <v>130</v>
      </c>
      <c r="Q22" s="8"/>
      <c r="R22" s="8" t="s">
        <v>109</v>
      </c>
    </row>
    <row r="23" spans="1:18" x14ac:dyDescent="0.25">
      <c r="A23">
        <v>10</v>
      </c>
      <c r="B23" s="7" t="str">
        <f>+'Federal Register Tables'!B28</f>
        <v>J</v>
      </c>
      <c r="C23" s="2" t="str">
        <f>+'Federal Register Tables'!I28</f>
        <v>LBC2</v>
      </c>
      <c r="D23" s="8">
        <f>+'Federal Register Tables'!J28</f>
        <v>1.63</v>
      </c>
      <c r="E23" s="8">
        <f>+'Federal Register Tables'!K28</f>
        <v>198.84</v>
      </c>
      <c r="F23" s="8">
        <f t="shared" si="1"/>
        <v>143.16</v>
      </c>
      <c r="G23" s="8">
        <f t="shared" si="2"/>
        <v>180.41</v>
      </c>
      <c r="H23" s="8">
        <f t="shared" si="3"/>
        <v>55.68</v>
      </c>
      <c r="I23" s="8">
        <f t="shared" si="4"/>
        <v>236.09</v>
      </c>
      <c r="J23" s="8">
        <f t="shared" si="0"/>
        <v>0</v>
      </c>
      <c r="M23" s="8" t="s">
        <v>137</v>
      </c>
      <c r="N23" s="8"/>
      <c r="O23" s="8" t="s">
        <v>135</v>
      </c>
      <c r="P23" s="8" t="s">
        <v>128</v>
      </c>
      <c r="Q23" s="8"/>
      <c r="R23" s="8" t="s">
        <v>132</v>
      </c>
    </row>
    <row r="24" spans="1:18" x14ac:dyDescent="0.25">
      <c r="A24">
        <v>11</v>
      </c>
      <c r="B24" s="7" t="str">
        <f>+'Federal Register Tables'!B29</f>
        <v>K</v>
      </c>
      <c r="C24" s="2" t="str">
        <f>+'Federal Register Tables'!I29</f>
        <v>LBC1</v>
      </c>
      <c r="D24" s="8">
        <f>+'Federal Register Tables'!J29</f>
        <v>1.35</v>
      </c>
      <c r="E24" s="8">
        <f>+'Federal Register Tables'!K29</f>
        <v>164.69</v>
      </c>
      <c r="F24" s="8">
        <f t="shared" si="1"/>
        <v>118.58</v>
      </c>
      <c r="G24" s="8">
        <f t="shared" si="2"/>
        <v>149.43</v>
      </c>
      <c r="H24" s="8">
        <f t="shared" si="3"/>
        <v>46.11</v>
      </c>
      <c r="I24" s="8">
        <f t="shared" si="4"/>
        <v>195.54000000000002</v>
      </c>
      <c r="J24" s="8">
        <f t="shared" si="0"/>
        <v>0</v>
      </c>
      <c r="M24" s="8" t="s">
        <v>138</v>
      </c>
      <c r="N24" s="8"/>
      <c r="O24" s="8" t="s">
        <v>135</v>
      </c>
      <c r="P24" s="8" t="s">
        <v>130</v>
      </c>
      <c r="Q24" s="8"/>
      <c r="R24" s="8" t="s">
        <v>132</v>
      </c>
    </row>
    <row r="25" spans="1:18" x14ac:dyDescent="0.25">
      <c r="A25">
        <v>12</v>
      </c>
      <c r="B25" s="7" t="str">
        <f>+'Federal Register Tables'!B30</f>
        <v>L</v>
      </c>
      <c r="C25" s="2" t="str">
        <f>+'Federal Register Tables'!I30</f>
        <v>CDE2</v>
      </c>
      <c r="D25" s="8">
        <f>+'Federal Register Tables'!J30</f>
        <v>1.77</v>
      </c>
      <c r="E25" s="8">
        <f>+'Federal Register Tables'!K30</f>
        <v>215.92</v>
      </c>
      <c r="F25" s="8">
        <f t="shared" si="1"/>
        <v>155.46</v>
      </c>
      <c r="G25" s="8">
        <f t="shared" si="2"/>
        <v>195.91</v>
      </c>
      <c r="H25" s="8">
        <f t="shared" si="3"/>
        <v>60.46</v>
      </c>
      <c r="I25" s="8">
        <f t="shared" si="4"/>
        <v>256.37</v>
      </c>
      <c r="J25" s="8">
        <f t="shared" si="0"/>
        <v>0</v>
      </c>
      <c r="M25" s="8" t="s">
        <v>139</v>
      </c>
      <c r="N25" s="8"/>
      <c r="O25" s="8" t="s">
        <v>140</v>
      </c>
      <c r="P25" s="8" t="s">
        <v>128</v>
      </c>
      <c r="Q25" s="8"/>
      <c r="R25" s="8" t="s">
        <v>109</v>
      </c>
    </row>
    <row r="26" spans="1:18" x14ac:dyDescent="0.25">
      <c r="A26">
        <v>13</v>
      </c>
      <c r="B26" s="7" t="str">
        <f>+'Federal Register Tables'!B31</f>
        <v>M</v>
      </c>
      <c r="C26" s="2" t="str">
        <f>+'Federal Register Tables'!I31</f>
        <v>CDE1</v>
      </c>
      <c r="D26" s="8">
        <f>+'Federal Register Tables'!J31</f>
        <v>1.53</v>
      </c>
      <c r="E26" s="8">
        <f>+'Federal Register Tables'!K31</f>
        <v>186.64</v>
      </c>
      <c r="F26" s="8">
        <f t="shared" si="1"/>
        <v>134.38</v>
      </c>
      <c r="G26" s="8">
        <f t="shared" si="2"/>
        <v>169.35</v>
      </c>
      <c r="H26" s="8">
        <f t="shared" si="3"/>
        <v>52.26</v>
      </c>
      <c r="I26" s="8">
        <f t="shared" si="4"/>
        <v>221.60999999999999</v>
      </c>
      <c r="J26" s="8">
        <f t="shared" si="0"/>
        <v>0</v>
      </c>
      <c r="M26" s="8" t="s">
        <v>141</v>
      </c>
      <c r="N26" s="8"/>
      <c r="O26" s="8" t="s">
        <v>140</v>
      </c>
      <c r="P26" s="8" t="s">
        <v>130</v>
      </c>
      <c r="Q26" s="8"/>
      <c r="R26" s="8" t="s">
        <v>109</v>
      </c>
    </row>
    <row r="27" spans="1:18" x14ac:dyDescent="0.25">
      <c r="A27">
        <v>14</v>
      </c>
      <c r="B27" s="7" t="str">
        <f>+'Federal Register Tables'!B32</f>
        <v>N</v>
      </c>
      <c r="C27" s="2" t="str">
        <f>+'Federal Register Tables'!I32</f>
        <v>CBC2</v>
      </c>
      <c r="D27" s="8">
        <f>+'Federal Register Tables'!J32</f>
        <v>1.47</v>
      </c>
      <c r="E27" s="8">
        <f>+'Federal Register Tables'!K32</f>
        <v>179.33</v>
      </c>
      <c r="F27" s="8">
        <f t="shared" si="1"/>
        <v>129.12</v>
      </c>
      <c r="G27" s="8">
        <f t="shared" si="2"/>
        <v>162.72</v>
      </c>
      <c r="H27" s="8">
        <f t="shared" si="3"/>
        <v>50.21</v>
      </c>
      <c r="I27" s="8">
        <f t="shared" si="4"/>
        <v>212.93</v>
      </c>
      <c r="J27" s="8">
        <f t="shared" si="0"/>
        <v>0</v>
      </c>
      <c r="M27" s="8" t="s">
        <v>142</v>
      </c>
      <c r="N27" s="8"/>
      <c r="O27" s="8" t="s">
        <v>140</v>
      </c>
      <c r="P27" s="8" t="s">
        <v>128</v>
      </c>
      <c r="Q27" s="8"/>
      <c r="R27" s="8" t="s">
        <v>132</v>
      </c>
    </row>
    <row r="28" spans="1:18" x14ac:dyDescent="0.25">
      <c r="A28">
        <v>15</v>
      </c>
      <c r="B28" s="7" t="str">
        <f>+'Federal Register Tables'!B33</f>
        <v>O</v>
      </c>
      <c r="C28" s="2" t="str">
        <f>+'Federal Register Tables'!I33</f>
        <v>CA2</v>
      </c>
      <c r="D28" s="8">
        <f>+'Federal Register Tables'!J33</f>
        <v>1.03</v>
      </c>
      <c r="E28" s="8">
        <f>+'Federal Register Tables'!K33</f>
        <v>125.65</v>
      </c>
      <c r="F28" s="8">
        <f t="shared" si="1"/>
        <v>90.47</v>
      </c>
      <c r="G28" s="8">
        <f t="shared" si="2"/>
        <v>114.01</v>
      </c>
      <c r="H28" s="8">
        <f t="shared" si="3"/>
        <v>35.18</v>
      </c>
      <c r="I28" s="8">
        <f t="shared" si="4"/>
        <v>149.19</v>
      </c>
      <c r="J28" s="8">
        <f t="shared" si="0"/>
        <v>0</v>
      </c>
      <c r="M28" s="8" t="s">
        <v>52</v>
      </c>
      <c r="N28" s="8"/>
      <c r="O28" s="8" t="s">
        <v>140</v>
      </c>
      <c r="P28" s="8" t="s">
        <v>128</v>
      </c>
      <c r="Q28" s="8"/>
      <c r="R28" s="8" t="s">
        <v>143</v>
      </c>
    </row>
    <row r="29" spans="1:18" x14ac:dyDescent="0.25">
      <c r="A29">
        <v>16</v>
      </c>
      <c r="B29" s="7" t="str">
        <f>+'Federal Register Tables'!B34</f>
        <v>P</v>
      </c>
      <c r="C29" s="2" t="str">
        <f>+'Federal Register Tables'!I34</f>
        <v>CBC1</v>
      </c>
      <c r="D29" s="8">
        <f>+'Federal Register Tables'!J34</f>
        <v>1.27</v>
      </c>
      <c r="E29" s="8">
        <f>+'Federal Register Tables'!K34</f>
        <v>154.93</v>
      </c>
      <c r="F29" s="8">
        <f t="shared" si="1"/>
        <v>111.55</v>
      </c>
      <c r="G29" s="8">
        <f t="shared" si="2"/>
        <v>140.58000000000001</v>
      </c>
      <c r="H29" s="8">
        <f t="shared" si="3"/>
        <v>43.38</v>
      </c>
      <c r="I29" s="8">
        <f t="shared" si="4"/>
        <v>183.96</v>
      </c>
      <c r="J29" s="8">
        <f t="shared" si="0"/>
        <v>0</v>
      </c>
      <c r="M29" s="8" t="s">
        <v>144</v>
      </c>
      <c r="N29" s="8"/>
      <c r="O29" s="8" t="s">
        <v>140</v>
      </c>
      <c r="P29" s="8" t="s">
        <v>130</v>
      </c>
      <c r="Q29" s="8"/>
      <c r="R29" s="8" t="s">
        <v>132</v>
      </c>
    </row>
    <row r="30" spans="1:18" x14ac:dyDescent="0.25">
      <c r="A30">
        <v>17</v>
      </c>
      <c r="B30" s="7" t="str">
        <f>+'Federal Register Tables'!B35</f>
        <v>Q</v>
      </c>
      <c r="C30" s="2" t="str">
        <f>+'Federal Register Tables'!I35</f>
        <v>CA1</v>
      </c>
      <c r="D30" s="8">
        <f>+'Federal Register Tables'!J35</f>
        <v>0.89</v>
      </c>
      <c r="E30" s="8">
        <f>+'Federal Register Tables'!K35</f>
        <v>108.57</v>
      </c>
      <c r="F30" s="8">
        <f t="shared" si="1"/>
        <v>78.17</v>
      </c>
      <c r="G30" s="8">
        <f t="shared" si="2"/>
        <v>98.51</v>
      </c>
      <c r="H30" s="8">
        <f t="shared" si="3"/>
        <v>30.4</v>
      </c>
      <c r="I30" s="8">
        <f t="shared" si="4"/>
        <v>128.91</v>
      </c>
      <c r="J30" s="8">
        <f t="shared" si="0"/>
        <v>0</v>
      </c>
      <c r="M30" s="8" t="s">
        <v>54</v>
      </c>
      <c r="N30" s="8"/>
      <c r="O30" s="8" t="s">
        <v>140</v>
      </c>
      <c r="P30" s="8" t="s">
        <v>130</v>
      </c>
      <c r="Q30" s="8"/>
      <c r="R30" s="8" t="s">
        <v>143</v>
      </c>
    </row>
    <row r="31" spans="1:18" x14ac:dyDescent="0.25">
      <c r="A31">
        <v>18</v>
      </c>
      <c r="B31" s="7" t="str">
        <f>+'Federal Register Tables'!B36</f>
        <v>R</v>
      </c>
      <c r="C31" s="2" t="str">
        <f>+'Federal Register Tables'!I36</f>
        <v>BAB2</v>
      </c>
      <c r="D31" s="8">
        <f>+'Federal Register Tables'!J36</f>
        <v>0.98</v>
      </c>
      <c r="E31" s="8">
        <f>+'Federal Register Tables'!K36</f>
        <v>119.55</v>
      </c>
      <c r="F31" s="8">
        <f t="shared" si="1"/>
        <v>86.08</v>
      </c>
      <c r="G31" s="8">
        <f t="shared" si="2"/>
        <v>108.48</v>
      </c>
      <c r="H31" s="8">
        <f t="shared" si="3"/>
        <v>33.47</v>
      </c>
      <c r="I31" s="8">
        <f t="shared" si="4"/>
        <v>141.94999999999999</v>
      </c>
      <c r="J31" s="8">
        <f t="shared" si="0"/>
        <v>0</v>
      </c>
      <c r="M31" s="8" t="s">
        <v>145</v>
      </c>
      <c r="N31" s="8"/>
      <c r="O31" s="8" t="s">
        <v>146</v>
      </c>
      <c r="P31" s="8"/>
      <c r="Q31" s="8" t="s">
        <v>147</v>
      </c>
      <c r="R31" s="8" t="s">
        <v>148</v>
      </c>
    </row>
    <row r="32" spans="1:18" x14ac:dyDescent="0.25">
      <c r="A32">
        <v>19</v>
      </c>
      <c r="B32" s="7" t="str">
        <f>+'Federal Register Tables'!B37</f>
        <v>S</v>
      </c>
      <c r="C32" s="2" t="str">
        <f>+'Federal Register Tables'!I37</f>
        <v>BAB1</v>
      </c>
      <c r="D32" s="8">
        <f>+'Federal Register Tables'!J37</f>
        <v>0.94</v>
      </c>
      <c r="E32" s="8">
        <f>+'Federal Register Tables'!K37</f>
        <v>114.67</v>
      </c>
      <c r="F32" s="8">
        <f t="shared" si="1"/>
        <v>82.56</v>
      </c>
      <c r="G32" s="8">
        <f t="shared" si="2"/>
        <v>104.04</v>
      </c>
      <c r="H32" s="8">
        <f t="shared" si="3"/>
        <v>32.11</v>
      </c>
      <c r="I32" s="8">
        <f t="shared" si="4"/>
        <v>136.15</v>
      </c>
      <c r="J32" s="8">
        <f t="shared" si="0"/>
        <v>0</v>
      </c>
      <c r="M32" s="8" t="s">
        <v>149</v>
      </c>
      <c r="N32" s="8"/>
      <c r="O32" s="8" t="s">
        <v>146</v>
      </c>
      <c r="P32" s="8"/>
      <c r="Q32" s="8" t="s">
        <v>150</v>
      </c>
      <c r="R32" s="8" t="s">
        <v>148</v>
      </c>
    </row>
    <row r="33" spans="1:18" x14ac:dyDescent="0.25">
      <c r="A33">
        <v>20</v>
      </c>
      <c r="B33" s="7" t="str">
        <f>+'Federal Register Tables'!B38</f>
        <v>T</v>
      </c>
      <c r="C33" s="2" t="str">
        <f>+'Federal Register Tables'!I38</f>
        <v>PDE2</v>
      </c>
      <c r="D33" s="8">
        <f>+'Federal Register Tables'!J38</f>
        <v>1.48</v>
      </c>
      <c r="E33" s="8">
        <f>+'Federal Register Tables'!K38</f>
        <v>180.55</v>
      </c>
      <c r="F33" s="8">
        <f t="shared" si="1"/>
        <v>130</v>
      </c>
      <c r="G33" s="8">
        <f t="shared" si="2"/>
        <v>163.83000000000001</v>
      </c>
      <c r="H33" s="8">
        <f t="shared" si="3"/>
        <v>50.55</v>
      </c>
      <c r="I33" s="8">
        <f t="shared" si="4"/>
        <v>214.38</v>
      </c>
      <c r="J33" s="8">
        <f t="shared" si="0"/>
        <v>0</v>
      </c>
      <c r="M33" s="8" t="s">
        <v>151</v>
      </c>
      <c r="N33" s="8"/>
      <c r="O33" s="8" t="s">
        <v>152</v>
      </c>
      <c r="P33" s="8"/>
      <c r="Q33" s="8" t="s">
        <v>147</v>
      </c>
      <c r="R33" s="8" t="s">
        <v>109</v>
      </c>
    </row>
    <row r="34" spans="1:18" x14ac:dyDescent="0.25">
      <c r="A34">
        <v>21</v>
      </c>
      <c r="B34" s="7" t="str">
        <f>+'Federal Register Tables'!B39</f>
        <v>U</v>
      </c>
      <c r="C34" s="2" t="str">
        <f>+'Federal Register Tables'!I39</f>
        <v>PDE1</v>
      </c>
      <c r="D34" s="8">
        <f>+'Federal Register Tables'!J39</f>
        <v>1.39</v>
      </c>
      <c r="E34" s="8">
        <f>+'Federal Register Tables'!K39</f>
        <v>169.57</v>
      </c>
      <c r="F34" s="8">
        <f t="shared" si="1"/>
        <v>122.09</v>
      </c>
      <c r="G34" s="8">
        <f t="shared" si="2"/>
        <v>153.86000000000001</v>
      </c>
      <c r="H34" s="8">
        <f t="shared" si="3"/>
        <v>47.48</v>
      </c>
      <c r="I34" s="8">
        <f t="shared" si="4"/>
        <v>201.34</v>
      </c>
      <c r="J34" s="8">
        <f t="shared" si="0"/>
        <v>0</v>
      </c>
      <c r="M34" s="8" t="s">
        <v>153</v>
      </c>
      <c r="N34" s="8"/>
      <c r="O34" s="8" t="s">
        <v>152</v>
      </c>
      <c r="P34" s="8"/>
      <c r="Q34" s="8" t="s">
        <v>150</v>
      </c>
      <c r="R34" s="8" t="s">
        <v>109</v>
      </c>
    </row>
    <row r="35" spans="1:18" x14ac:dyDescent="0.25">
      <c r="A35">
        <v>22</v>
      </c>
      <c r="B35" s="7" t="str">
        <f>+'Federal Register Tables'!B40</f>
        <v>V</v>
      </c>
      <c r="C35" s="2" t="str">
        <f>+'Federal Register Tables'!I40</f>
        <v>PBC2</v>
      </c>
      <c r="D35" s="8">
        <f>+'Federal Register Tables'!J40</f>
        <v>1.1499999999999999</v>
      </c>
      <c r="E35" s="8">
        <f>+'Federal Register Tables'!K40</f>
        <v>140.29</v>
      </c>
      <c r="F35" s="8">
        <f t="shared" si="1"/>
        <v>101.01</v>
      </c>
      <c r="G35" s="8">
        <f t="shared" si="2"/>
        <v>127.29</v>
      </c>
      <c r="H35" s="8">
        <f t="shared" si="3"/>
        <v>39.28</v>
      </c>
      <c r="I35" s="8">
        <f t="shared" si="4"/>
        <v>166.57</v>
      </c>
      <c r="J35" s="8">
        <f t="shared" si="0"/>
        <v>0</v>
      </c>
      <c r="M35" s="8" t="s">
        <v>154</v>
      </c>
      <c r="N35" s="8"/>
      <c r="O35" s="8" t="s">
        <v>152</v>
      </c>
      <c r="P35" s="8"/>
      <c r="Q35" s="8" t="s">
        <v>147</v>
      </c>
      <c r="R35" s="8" t="s">
        <v>132</v>
      </c>
    </row>
    <row r="36" spans="1:18" x14ac:dyDescent="0.25">
      <c r="A36">
        <v>23</v>
      </c>
      <c r="B36" s="7" t="str">
        <f>+'Federal Register Tables'!B41</f>
        <v>W</v>
      </c>
      <c r="C36" s="2" t="str">
        <f>+'Federal Register Tables'!I41</f>
        <v>PA2</v>
      </c>
      <c r="D36" s="8">
        <f>+'Federal Register Tables'!J41</f>
        <v>0.67</v>
      </c>
      <c r="E36" s="8">
        <f>+'Federal Register Tables'!K41</f>
        <v>81.73</v>
      </c>
      <c r="F36" s="8">
        <f t="shared" si="1"/>
        <v>58.85</v>
      </c>
      <c r="G36" s="8">
        <f t="shared" si="2"/>
        <v>74.16</v>
      </c>
      <c r="H36" s="8">
        <f t="shared" si="3"/>
        <v>22.88</v>
      </c>
      <c r="I36" s="8">
        <f t="shared" si="4"/>
        <v>97.039999999999992</v>
      </c>
      <c r="J36" s="8">
        <f t="shared" si="0"/>
        <v>0</v>
      </c>
      <c r="M36" s="8" t="s">
        <v>60</v>
      </c>
      <c r="N36" s="8"/>
      <c r="O36" s="8" t="s">
        <v>152</v>
      </c>
      <c r="P36" s="8"/>
      <c r="Q36" s="8" t="s">
        <v>147</v>
      </c>
      <c r="R36" s="8" t="s">
        <v>143</v>
      </c>
    </row>
    <row r="37" spans="1:18" x14ac:dyDescent="0.25">
      <c r="A37">
        <v>24</v>
      </c>
      <c r="B37" s="7" t="str">
        <f>+'Federal Register Tables'!B42</f>
        <v>X</v>
      </c>
      <c r="C37" s="2" t="str">
        <f>+'Federal Register Tables'!I42</f>
        <v>PBC1</v>
      </c>
      <c r="D37" s="8">
        <f>+'Federal Register Tables'!J42</f>
        <v>1.07</v>
      </c>
      <c r="E37" s="8">
        <f>+'Federal Register Tables'!K42</f>
        <v>130.53</v>
      </c>
      <c r="F37" s="8">
        <f t="shared" si="1"/>
        <v>93.98</v>
      </c>
      <c r="G37" s="8">
        <f t="shared" si="2"/>
        <v>118.43</v>
      </c>
      <c r="H37" s="8">
        <f t="shared" si="3"/>
        <v>36.549999999999997</v>
      </c>
      <c r="I37" s="8">
        <f t="shared" si="4"/>
        <v>154.98000000000002</v>
      </c>
      <c r="J37" s="8">
        <f t="shared" si="0"/>
        <v>0</v>
      </c>
      <c r="M37" s="8" t="s">
        <v>155</v>
      </c>
      <c r="N37" s="8"/>
      <c r="O37" s="8" t="s">
        <v>152</v>
      </c>
      <c r="P37" s="8"/>
      <c r="Q37" s="8" t="s">
        <v>150</v>
      </c>
      <c r="R37" s="8" t="s">
        <v>132</v>
      </c>
    </row>
    <row r="38" spans="1:18" x14ac:dyDescent="0.25">
      <c r="A38">
        <v>25</v>
      </c>
      <c r="B38" s="7" t="str">
        <f>+'Federal Register Tables'!B43</f>
        <v>Y</v>
      </c>
      <c r="C38" s="2" t="str">
        <f>+'Federal Register Tables'!I43</f>
        <v>PA1</v>
      </c>
      <c r="D38" s="8">
        <f>+'Federal Register Tables'!J43</f>
        <v>0.62</v>
      </c>
      <c r="E38" s="8">
        <f>+'Federal Register Tables'!K43</f>
        <v>75.63</v>
      </c>
      <c r="F38" s="8">
        <f t="shared" si="1"/>
        <v>54.45</v>
      </c>
      <c r="G38" s="8">
        <f t="shared" si="2"/>
        <v>68.62</v>
      </c>
      <c r="H38" s="8">
        <f t="shared" si="3"/>
        <v>21.18</v>
      </c>
      <c r="I38" s="8">
        <f t="shared" si="4"/>
        <v>89.800000000000011</v>
      </c>
      <c r="J38" s="8">
        <f t="shared" si="0"/>
        <v>0</v>
      </c>
      <c r="M38" s="8" t="s">
        <v>62</v>
      </c>
      <c r="N38" s="8"/>
      <c r="O38" s="8" t="s">
        <v>152</v>
      </c>
      <c r="P38" s="8"/>
      <c r="Q38" s="8" t="s">
        <v>150</v>
      </c>
      <c r="R38" s="8" t="s">
        <v>143</v>
      </c>
    </row>
    <row r="42" spans="1:18" x14ac:dyDescent="0.25">
      <c r="B42" t="s">
        <v>188</v>
      </c>
      <c r="D42" s="12">
        <f>MAX(D14:D38)</f>
        <v>3.84</v>
      </c>
    </row>
    <row r="43" spans="1:18" x14ac:dyDescent="0.25">
      <c r="B43" t="s">
        <v>189</v>
      </c>
      <c r="D43" s="12">
        <f>MIN(D14:D38)</f>
        <v>0.62</v>
      </c>
    </row>
    <row r="44" spans="1:18" x14ac:dyDescent="0.25">
      <c r="B44" t="s">
        <v>190</v>
      </c>
      <c r="D44" s="12">
        <f>AVERAGE(D14:D38)</f>
        <v>1.6155999999999997</v>
      </c>
    </row>
    <row r="45" spans="1:18" x14ac:dyDescent="0.25">
      <c r="D45" s="12"/>
    </row>
    <row r="46" spans="1:18" x14ac:dyDescent="0.25">
      <c r="B46" t="s">
        <v>191</v>
      </c>
      <c r="D46" s="12">
        <f>+E9</f>
        <v>121.99</v>
      </c>
    </row>
    <row r="47" spans="1:18" x14ac:dyDescent="0.25">
      <c r="D47" s="12"/>
    </row>
    <row r="48" spans="1:18" x14ac:dyDescent="0.25">
      <c r="B48" t="s">
        <v>192</v>
      </c>
      <c r="D48" s="12">
        <f>MAX(I14:I38)</f>
        <v>556.20000000000005</v>
      </c>
    </row>
    <row r="49" spans="2:4" x14ac:dyDescent="0.25">
      <c r="B49" t="s">
        <v>193</v>
      </c>
      <c r="D49" s="12">
        <f>MIN(I14:I38)</f>
        <v>89.800000000000011</v>
      </c>
    </row>
    <row r="50" spans="2:4" x14ac:dyDescent="0.25">
      <c r="B50" t="s">
        <v>194</v>
      </c>
      <c r="D50" s="12">
        <f>AVERAGE(I14:I38)</f>
        <v>234.00999999999996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T43"/>
  <sheetViews>
    <sheetView showGridLines="0" workbookViewId="0">
      <selection activeCell="E10" sqref="E10"/>
    </sheetView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  <col min="13" max="13" width="11.5703125" bestFit="1" customWidth="1"/>
    <col min="14" max="14" width="10.28515625" bestFit="1" customWidth="1"/>
    <col min="17" max="18" width="9.140625" hidden="1" customWidth="1"/>
    <col min="19" max="19" width="43.140625" bestFit="1" customWidth="1"/>
    <col min="20" max="20" width="14.140625" bestFit="1" customWidth="1"/>
  </cols>
  <sheetData>
    <row r="2" spans="1:20" x14ac:dyDescent="0.25">
      <c r="B2" t="s">
        <v>70</v>
      </c>
      <c r="C2" s="18" t="str">
        <f>+Summary!C5</f>
        <v xml:space="preserve">California </v>
      </c>
    </row>
    <row r="3" spans="1:20" x14ac:dyDescent="0.25">
      <c r="B3" t="s">
        <v>78</v>
      </c>
      <c r="C3" s="18">
        <f>+Summary!C6</f>
        <v>5</v>
      </c>
    </row>
    <row r="4" spans="1:20" x14ac:dyDescent="0.25">
      <c r="B4" t="s">
        <v>251</v>
      </c>
      <c r="C4" t="str">
        <f>+Summary!C7</f>
        <v xml:space="preserve">California </v>
      </c>
    </row>
    <row r="5" spans="1:20" x14ac:dyDescent="0.25">
      <c r="B5" t="s">
        <v>66</v>
      </c>
      <c r="C5" s="17">
        <f>+Summary!C8</f>
        <v>1.2602</v>
      </c>
    </row>
    <row r="8" spans="1:20" x14ac:dyDescent="0.25">
      <c r="B8" s="21" t="s">
        <v>0</v>
      </c>
      <c r="C8" s="22"/>
      <c r="D8" s="23"/>
      <c r="E8" s="7" t="s">
        <v>2</v>
      </c>
      <c r="F8" s="7" t="s">
        <v>3</v>
      </c>
    </row>
    <row r="9" spans="1:20" x14ac:dyDescent="0.25">
      <c r="B9" s="21" t="s">
        <v>1</v>
      </c>
      <c r="C9" s="22"/>
      <c r="D9" s="23"/>
      <c r="E9" s="11">
        <f>+'Federal Register Tables'!C10</f>
        <v>83.5</v>
      </c>
      <c r="F9" s="11">
        <f>+'Federal Register Tables'!D10</f>
        <v>76.69</v>
      </c>
    </row>
    <row r="11" spans="1:20" x14ac:dyDescent="0.25">
      <c r="E11" s="9">
        <f>+'Federal Register Tables'!C76</f>
        <v>0.72</v>
      </c>
      <c r="F11" s="20">
        <f>+C5</f>
        <v>1.2602</v>
      </c>
      <c r="G11" s="9">
        <f>1-E11</f>
        <v>0.28000000000000003</v>
      </c>
      <c r="L11" s="9">
        <f>+E11</f>
        <v>0.72</v>
      </c>
      <c r="M11" s="20">
        <f t="shared" ref="M11:N11" si="0">+F11</f>
        <v>1.2602</v>
      </c>
      <c r="N11" s="9">
        <f t="shared" si="0"/>
        <v>0.28000000000000003</v>
      </c>
    </row>
    <row r="12" spans="1:20" x14ac:dyDescent="0.25">
      <c r="B12" s="4" t="s">
        <v>69</v>
      </c>
      <c r="C12" s="4" t="s">
        <v>2</v>
      </c>
      <c r="D12" s="4" t="s">
        <v>2</v>
      </c>
      <c r="E12" s="4" t="s">
        <v>2</v>
      </c>
      <c r="F12" s="4" t="s">
        <v>66</v>
      </c>
      <c r="G12" s="4" t="s">
        <v>2</v>
      </c>
      <c r="H12" s="4" t="s">
        <v>2</v>
      </c>
      <c r="J12" s="4" t="s">
        <v>3</v>
      </c>
      <c r="K12" s="4" t="s">
        <v>3</v>
      </c>
      <c r="L12" s="4" t="s">
        <v>3</v>
      </c>
      <c r="M12" s="4" t="s">
        <v>66</v>
      </c>
      <c r="N12" s="4" t="s">
        <v>3</v>
      </c>
      <c r="O12" s="4" t="s">
        <v>3</v>
      </c>
      <c r="Q12" s="4" t="s">
        <v>2</v>
      </c>
      <c r="R12" s="4" t="s">
        <v>3</v>
      </c>
      <c r="S12" s="4"/>
      <c r="T12" s="4" t="s">
        <v>115</v>
      </c>
    </row>
    <row r="13" spans="1:20" x14ac:dyDescent="0.25">
      <c r="B13" s="5" t="s">
        <v>9</v>
      </c>
      <c r="C13" s="5" t="s">
        <v>10</v>
      </c>
      <c r="D13" s="5" t="s">
        <v>11</v>
      </c>
      <c r="E13" s="5" t="s">
        <v>65</v>
      </c>
      <c r="F13" s="5" t="s">
        <v>79</v>
      </c>
      <c r="G13" s="5" t="s">
        <v>67</v>
      </c>
      <c r="H13" s="5" t="s">
        <v>63</v>
      </c>
      <c r="J13" s="5" t="s">
        <v>10</v>
      </c>
      <c r="K13" s="5" t="s">
        <v>11</v>
      </c>
      <c r="L13" s="5" t="s">
        <v>65</v>
      </c>
      <c r="M13" s="5" t="s">
        <v>79</v>
      </c>
      <c r="N13" s="5" t="s">
        <v>67</v>
      </c>
      <c r="O13" s="5" t="s">
        <v>63</v>
      </c>
      <c r="Q13" s="5" t="s">
        <v>80</v>
      </c>
      <c r="R13" s="5" t="s">
        <v>80</v>
      </c>
      <c r="S13" s="5" t="s">
        <v>107</v>
      </c>
      <c r="T13" s="5" t="s">
        <v>116</v>
      </c>
    </row>
    <row r="14" spans="1:20" x14ac:dyDescent="0.25">
      <c r="A14">
        <v>1</v>
      </c>
      <c r="B14" s="2" t="s">
        <v>82</v>
      </c>
      <c r="C14" s="8">
        <f>+'Federal Register Tables'!C19</f>
        <v>1.45</v>
      </c>
      <c r="D14" s="8">
        <f>+'Federal Register Tables'!D19</f>
        <v>121.08</v>
      </c>
      <c r="E14" s="8">
        <f>ROUND(D14*$E$11,2)</f>
        <v>87.18</v>
      </c>
      <c r="F14" s="8">
        <f>ROUND(E14*$F$11,2)</f>
        <v>109.86</v>
      </c>
      <c r="G14" s="8">
        <f>ROUND(D14*$G$11,2)</f>
        <v>33.9</v>
      </c>
      <c r="H14" s="8">
        <f>+F14+G14</f>
        <v>143.76</v>
      </c>
      <c r="J14" s="8">
        <f>+'Federal Register Tables'!E19</f>
        <v>1.41</v>
      </c>
      <c r="K14" s="8">
        <f>+'Federal Register Tables'!F19</f>
        <v>108.13</v>
      </c>
      <c r="L14" s="8">
        <f>ROUND(K14*$L$11,2)</f>
        <v>77.849999999999994</v>
      </c>
      <c r="M14" s="8">
        <f>ROUND(L14*$M$11,2)</f>
        <v>98.11</v>
      </c>
      <c r="N14" s="8">
        <f>ROUND(K14*$N$11,2)</f>
        <v>30.28</v>
      </c>
      <c r="O14" s="8">
        <f>+M14+N14</f>
        <v>128.38999999999999</v>
      </c>
      <c r="Q14" s="8">
        <f>ROUND((+$E$9*C14),2)-D14</f>
        <v>0</v>
      </c>
      <c r="R14" s="8">
        <f>ROUND((+$F$9*J14),2)-K14</f>
        <v>0</v>
      </c>
      <c r="S14" s="24" t="s">
        <v>108</v>
      </c>
      <c r="T14" s="8" t="s">
        <v>109</v>
      </c>
    </row>
    <row r="15" spans="1:20" x14ac:dyDescent="0.25">
      <c r="A15">
        <v>2</v>
      </c>
      <c r="B15" s="2" t="s">
        <v>83</v>
      </c>
      <c r="C15" s="8">
        <f>+'Federal Register Tables'!C20</f>
        <v>1.61</v>
      </c>
      <c r="D15" s="8">
        <f>+'Federal Register Tables'!D20</f>
        <v>134.44</v>
      </c>
      <c r="E15" s="8">
        <f t="shared" ref="E15:E29" si="1">ROUND(D15*$E$11,2)</f>
        <v>96.8</v>
      </c>
      <c r="F15" s="8">
        <f t="shared" ref="F15:F29" si="2">ROUND(E15*$F$11,2)</f>
        <v>121.99</v>
      </c>
      <c r="G15" s="8">
        <f t="shared" ref="G15:G29" si="3">ROUND(D15*$G$11,2)</f>
        <v>37.64</v>
      </c>
      <c r="H15" s="8">
        <f t="shared" ref="H15:H29" si="4">+F15+G15</f>
        <v>159.63</v>
      </c>
      <c r="J15" s="8">
        <f>+'Federal Register Tables'!E20</f>
        <v>1.54</v>
      </c>
      <c r="K15" s="8">
        <f>+'Federal Register Tables'!F20</f>
        <v>118.1</v>
      </c>
      <c r="L15" s="8">
        <f t="shared" ref="L15:L29" si="5">ROUND(K15*$L$11,2)</f>
        <v>85.03</v>
      </c>
      <c r="M15" s="8">
        <f t="shared" ref="M15:M29" si="6">ROUND(L15*$M$11,2)</f>
        <v>107.15</v>
      </c>
      <c r="N15" s="8">
        <f t="shared" ref="N15:N29" si="7">ROUND(K15*$N$11,2)</f>
        <v>33.07</v>
      </c>
      <c r="O15" s="8">
        <f t="shared" ref="O15:O29" si="8">+M15+N15</f>
        <v>140.22</v>
      </c>
      <c r="Q15" s="8">
        <f t="shared" ref="Q15:Q29" si="9">ROUND((+$E$9*C15),2)-D15</f>
        <v>0</v>
      </c>
      <c r="R15" s="8">
        <f t="shared" ref="R15:R29" si="10">ROUND((+$F$9*J15),2)-K15</f>
        <v>0</v>
      </c>
      <c r="S15" s="24" t="s">
        <v>108</v>
      </c>
      <c r="T15" s="8" t="s">
        <v>110</v>
      </c>
    </row>
    <row r="16" spans="1:20" x14ac:dyDescent="0.25">
      <c r="A16">
        <v>3</v>
      </c>
      <c r="B16" s="2" t="s">
        <v>84</v>
      </c>
      <c r="C16" s="8">
        <f>+'Federal Register Tables'!C21</f>
        <v>1.78</v>
      </c>
      <c r="D16" s="8">
        <f>+'Federal Register Tables'!D21</f>
        <v>148.63</v>
      </c>
      <c r="E16" s="8">
        <f t="shared" si="1"/>
        <v>107.01</v>
      </c>
      <c r="F16" s="8">
        <f t="shared" si="2"/>
        <v>134.85</v>
      </c>
      <c r="G16" s="8">
        <f t="shared" si="3"/>
        <v>41.62</v>
      </c>
      <c r="H16" s="8">
        <f t="shared" si="4"/>
        <v>176.47</v>
      </c>
      <c r="J16" s="8">
        <f>+'Federal Register Tables'!E21</f>
        <v>1.6</v>
      </c>
      <c r="K16" s="8">
        <f>+'Federal Register Tables'!F21</f>
        <v>122.7</v>
      </c>
      <c r="L16" s="8">
        <f t="shared" si="5"/>
        <v>88.34</v>
      </c>
      <c r="M16" s="8">
        <f t="shared" si="6"/>
        <v>111.33</v>
      </c>
      <c r="N16" s="8">
        <f t="shared" si="7"/>
        <v>34.36</v>
      </c>
      <c r="O16" s="8">
        <f t="shared" si="8"/>
        <v>145.69</v>
      </c>
      <c r="Q16" s="8">
        <f t="shared" si="9"/>
        <v>0</v>
      </c>
      <c r="R16" s="8">
        <f t="shared" si="10"/>
        <v>0</v>
      </c>
      <c r="S16" s="24" t="s">
        <v>108</v>
      </c>
      <c r="T16" s="8" t="s">
        <v>111</v>
      </c>
    </row>
    <row r="17" spans="1:20" x14ac:dyDescent="0.25">
      <c r="A17">
        <v>4</v>
      </c>
      <c r="B17" s="2" t="s">
        <v>85</v>
      </c>
      <c r="C17" s="8">
        <f>+'Federal Register Tables'!C22</f>
        <v>1.81</v>
      </c>
      <c r="D17" s="8">
        <f>+'Federal Register Tables'!D22</f>
        <v>151.13999999999999</v>
      </c>
      <c r="E17" s="8">
        <f t="shared" si="1"/>
        <v>108.82</v>
      </c>
      <c r="F17" s="8">
        <f t="shared" si="2"/>
        <v>137.13</v>
      </c>
      <c r="G17" s="8">
        <f t="shared" si="3"/>
        <v>42.32</v>
      </c>
      <c r="H17" s="8">
        <f t="shared" si="4"/>
        <v>179.45</v>
      </c>
      <c r="J17" s="8">
        <f>+'Federal Register Tables'!E22</f>
        <v>1.45</v>
      </c>
      <c r="K17" s="8">
        <f>+'Federal Register Tables'!F22</f>
        <v>111.2</v>
      </c>
      <c r="L17" s="8">
        <f t="shared" si="5"/>
        <v>80.06</v>
      </c>
      <c r="M17" s="8">
        <f t="shared" si="6"/>
        <v>100.89</v>
      </c>
      <c r="N17" s="8">
        <f t="shared" si="7"/>
        <v>31.14</v>
      </c>
      <c r="O17" s="8">
        <f t="shared" si="8"/>
        <v>132.03</v>
      </c>
      <c r="Q17" s="8">
        <f t="shared" si="9"/>
        <v>0</v>
      </c>
      <c r="R17" s="8">
        <f t="shared" si="10"/>
        <v>0</v>
      </c>
      <c r="S17" s="24" t="s">
        <v>108</v>
      </c>
      <c r="T17" s="8">
        <v>24</v>
      </c>
    </row>
    <row r="18" spans="1:20" x14ac:dyDescent="0.25">
      <c r="A18">
        <v>5</v>
      </c>
      <c r="B18" s="2" t="s">
        <v>86</v>
      </c>
      <c r="C18" s="8">
        <f>+'Federal Register Tables'!C23</f>
        <v>1.34</v>
      </c>
      <c r="D18" s="8">
        <f>+'Federal Register Tables'!D23</f>
        <v>111.89</v>
      </c>
      <c r="E18" s="8">
        <f t="shared" si="1"/>
        <v>80.56</v>
      </c>
      <c r="F18" s="8">
        <f t="shared" si="2"/>
        <v>101.52</v>
      </c>
      <c r="G18" s="8">
        <f t="shared" si="3"/>
        <v>31.33</v>
      </c>
      <c r="H18" s="8">
        <f t="shared" si="4"/>
        <v>132.85</v>
      </c>
      <c r="J18" s="8">
        <f>+'Federal Register Tables'!E23</f>
        <v>1.33</v>
      </c>
      <c r="K18" s="8">
        <f>+'Federal Register Tables'!F23</f>
        <v>102</v>
      </c>
      <c r="L18" s="8">
        <f t="shared" si="5"/>
        <v>73.44</v>
      </c>
      <c r="M18" s="8">
        <f t="shared" si="6"/>
        <v>92.55</v>
      </c>
      <c r="N18" s="8">
        <f t="shared" si="7"/>
        <v>28.56</v>
      </c>
      <c r="O18" s="8">
        <f t="shared" si="8"/>
        <v>121.11</v>
      </c>
      <c r="Q18" s="8">
        <f t="shared" si="9"/>
        <v>0</v>
      </c>
      <c r="R18" s="8">
        <f t="shared" si="10"/>
        <v>0</v>
      </c>
      <c r="S18" s="24" t="s">
        <v>112</v>
      </c>
      <c r="T18" s="8" t="s">
        <v>109</v>
      </c>
    </row>
    <row r="19" spans="1:20" x14ac:dyDescent="0.25">
      <c r="A19">
        <v>6</v>
      </c>
      <c r="B19" s="2" t="s">
        <v>87</v>
      </c>
      <c r="C19" s="8">
        <f>+'Federal Register Tables'!C24</f>
        <v>1.52</v>
      </c>
      <c r="D19" s="8">
        <f>+'Federal Register Tables'!D24</f>
        <v>126.92</v>
      </c>
      <c r="E19" s="8">
        <f t="shared" si="1"/>
        <v>91.38</v>
      </c>
      <c r="F19" s="8">
        <f t="shared" si="2"/>
        <v>115.16</v>
      </c>
      <c r="G19" s="8">
        <f t="shared" si="3"/>
        <v>35.54</v>
      </c>
      <c r="H19" s="8">
        <f t="shared" si="4"/>
        <v>150.69999999999999</v>
      </c>
      <c r="J19" s="8">
        <f>+'Federal Register Tables'!E24</f>
        <v>1.51</v>
      </c>
      <c r="K19" s="8">
        <f>+'Federal Register Tables'!F24</f>
        <v>115.8</v>
      </c>
      <c r="L19" s="8">
        <f t="shared" si="5"/>
        <v>83.38</v>
      </c>
      <c r="M19" s="8">
        <f t="shared" si="6"/>
        <v>105.08</v>
      </c>
      <c r="N19" s="8">
        <f t="shared" si="7"/>
        <v>32.42</v>
      </c>
      <c r="O19" s="8">
        <f t="shared" si="8"/>
        <v>137.5</v>
      </c>
      <c r="Q19" s="8">
        <f t="shared" si="9"/>
        <v>0</v>
      </c>
      <c r="R19" s="8">
        <f t="shared" si="10"/>
        <v>0</v>
      </c>
      <c r="S19" s="24" t="s">
        <v>112</v>
      </c>
      <c r="T19" s="8" t="s">
        <v>110</v>
      </c>
    </row>
    <row r="20" spans="1:20" x14ac:dyDescent="0.25">
      <c r="A20">
        <v>7</v>
      </c>
      <c r="B20" s="2" t="s">
        <v>88</v>
      </c>
      <c r="C20" s="8">
        <f>+'Federal Register Tables'!C25</f>
        <v>1.58</v>
      </c>
      <c r="D20" s="8">
        <f>+'Federal Register Tables'!D25</f>
        <v>131.93</v>
      </c>
      <c r="E20" s="8">
        <f t="shared" si="1"/>
        <v>94.99</v>
      </c>
      <c r="F20" s="8">
        <f t="shared" si="2"/>
        <v>119.71</v>
      </c>
      <c r="G20" s="8">
        <f t="shared" si="3"/>
        <v>36.94</v>
      </c>
      <c r="H20" s="8">
        <f t="shared" si="4"/>
        <v>156.64999999999998</v>
      </c>
      <c r="J20" s="8">
        <f>+'Federal Register Tables'!E25</f>
        <v>1.55</v>
      </c>
      <c r="K20" s="8">
        <f>+'Federal Register Tables'!F25</f>
        <v>118.87</v>
      </c>
      <c r="L20" s="8">
        <f t="shared" si="5"/>
        <v>85.59</v>
      </c>
      <c r="M20" s="8">
        <f t="shared" si="6"/>
        <v>107.86</v>
      </c>
      <c r="N20" s="8">
        <f t="shared" si="7"/>
        <v>33.28</v>
      </c>
      <c r="O20" s="8">
        <f t="shared" si="8"/>
        <v>141.13999999999999</v>
      </c>
      <c r="Q20" s="8">
        <f t="shared" si="9"/>
        <v>0</v>
      </c>
      <c r="R20" s="8">
        <f t="shared" si="10"/>
        <v>0</v>
      </c>
      <c r="S20" s="24" t="s">
        <v>112</v>
      </c>
      <c r="T20" s="8" t="s">
        <v>111</v>
      </c>
    </row>
    <row r="21" spans="1:20" x14ac:dyDescent="0.25">
      <c r="A21">
        <v>8</v>
      </c>
      <c r="B21" s="2" t="s">
        <v>89</v>
      </c>
      <c r="C21" s="8">
        <f>+'Federal Register Tables'!C26</f>
        <v>1.1000000000000001</v>
      </c>
      <c r="D21" s="8">
        <f>+'Federal Register Tables'!D26</f>
        <v>91.85</v>
      </c>
      <c r="E21" s="8">
        <f t="shared" si="1"/>
        <v>66.13</v>
      </c>
      <c r="F21" s="8">
        <f t="shared" si="2"/>
        <v>83.34</v>
      </c>
      <c r="G21" s="8">
        <f t="shared" si="3"/>
        <v>25.72</v>
      </c>
      <c r="H21" s="8">
        <f t="shared" si="4"/>
        <v>109.06</v>
      </c>
      <c r="J21" s="8">
        <f>+'Federal Register Tables'!E26</f>
        <v>1.0900000000000001</v>
      </c>
      <c r="K21" s="8">
        <f>+'Federal Register Tables'!F26</f>
        <v>83.59</v>
      </c>
      <c r="L21" s="8">
        <f t="shared" si="5"/>
        <v>60.18</v>
      </c>
      <c r="M21" s="8">
        <f t="shared" si="6"/>
        <v>75.84</v>
      </c>
      <c r="N21" s="8">
        <f t="shared" si="7"/>
        <v>23.41</v>
      </c>
      <c r="O21" s="8">
        <f t="shared" si="8"/>
        <v>99.25</v>
      </c>
      <c r="Q21" s="8">
        <f t="shared" si="9"/>
        <v>0</v>
      </c>
      <c r="R21" s="8">
        <f t="shared" si="10"/>
        <v>0</v>
      </c>
      <c r="S21" s="24" t="s">
        <v>112</v>
      </c>
      <c r="T21" s="8">
        <v>24</v>
      </c>
    </row>
    <row r="22" spans="1:20" x14ac:dyDescent="0.25">
      <c r="A22">
        <v>9</v>
      </c>
      <c r="B22" s="2" t="s">
        <v>90</v>
      </c>
      <c r="C22" s="8">
        <f>+'Federal Register Tables'!C27</f>
        <v>1.07</v>
      </c>
      <c r="D22" s="8">
        <f>+'Federal Register Tables'!D27</f>
        <v>89.35</v>
      </c>
      <c r="E22" s="8">
        <f t="shared" si="1"/>
        <v>64.33</v>
      </c>
      <c r="F22" s="8">
        <f t="shared" si="2"/>
        <v>81.069999999999993</v>
      </c>
      <c r="G22" s="8">
        <f t="shared" si="3"/>
        <v>25.02</v>
      </c>
      <c r="H22" s="8">
        <f t="shared" si="4"/>
        <v>106.08999999999999</v>
      </c>
      <c r="J22" s="8">
        <f>+'Federal Register Tables'!E27</f>
        <v>1.1200000000000001</v>
      </c>
      <c r="K22" s="8">
        <f>+'Federal Register Tables'!F27</f>
        <v>85.89</v>
      </c>
      <c r="L22" s="8">
        <f t="shared" si="5"/>
        <v>61.84</v>
      </c>
      <c r="M22" s="8">
        <f t="shared" si="6"/>
        <v>77.930000000000007</v>
      </c>
      <c r="N22" s="8">
        <f t="shared" si="7"/>
        <v>24.05</v>
      </c>
      <c r="O22" s="8">
        <f t="shared" si="8"/>
        <v>101.98</v>
      </c>
      <c r="Q22" s="8">
        <f t="shared" si="9"/>
        <v>0</v>
      </c>
      <c r="R22" s="8">
        <f t="shared" si="10"/>
        <v>0</v>
      </c>
      <c r="S22" s="24" t="s">
        <v>113</v>
      </c>
      <c r="T22" s="8" t="s">
        <v>109</v>
      </c>
    </row>
    <row r="23" spans="1:20" x14ac:dyDescent="0.25">
      <c r="A23">
        <v>10</v>
      </c>
      <c r="B23" s="2" t="s">
        <v>91</v>
      </c>
      <c r="C23" s="8">
        <f>+'Federal Register Tables'!C28</f>
        <v>1.34</v>
      </c>
      <c r="D23" s="8">
        <f>+'Federal Register Tables'!D28</f>
        <v>111.89</v>
      </c>
      <c r="E23" s="8">
        <f t="shared" si="1"/>
        <v>80.56</v>
      </c>
      <c r="F23" s="8">
        <f t="shared" si="2"/>
        <v>101.52</v>
      </c>
      <c r="G23" s="8">
        <f t="shared" si="3"/>
        <v>31.33</v>
      </c>
      <c r="H23" s="8">
        <f t="shared" si="4"/>
        <v>132.85</v>
      </c>
      <c r="J23" s="8">
        <f>+'Federal Register Tables'!E28</f>
        <v>1.37</v>
      </c>
      <c r="K23" s="8">
        <f>+'Federal Register Tables'!F28</f>
        <v>105.07</v>
      </c>
      <c r="L23" s="8">
        <f t="shared" si="5"/>
        <v>75.650000000000006</v>
      </c>
      <c r="M23" s="8">
        <f t="shared" si="6"/>
        <v>95.33</v>
      </c>
      <c r="N23" s="8">
        <f t="shared" si="7"/>
        <v>29.42</v>
      </c>
      <c r="O23" s="8">
        <f t="shared" si="8"/>
        <v>124.75</v>
      </c>
      <c r="Q23" s="8">
        <f t="shared" si="9"/>
        <v>0</v>
      </c>
      <c r="R23" s="8">
        <f t="shared" si="10"/>
        <v>0</v>
      </c>
      <c r="S23" s="24" t="s">
        <v>113</v>
      </c>
      <c r="T23" s="8" t="s">
        <v>110</v>
      </c>
    </row>
    <row r="24" spans="1:20" x14ac:dyDescent="0.25">
      <c r="A24">
        <v>11</v>
      </c>
      <c r="B24" s="2" t="s">
        <v>92</v>
      </c>
      <c r="C24" s="8">
        <f>+'Federal Register Tables'!C29</f>
        <v>1.44</v>
      </c>
      <c r="D24" s="8">
        <f>+'Federal Register Tables'!D29</f>
        <v>120.24</v>
      </c>
      <c r="E24" s="8">
        <f t="shared" si="1"/>
        <v>86.57</v>
      </c>
      <c r="F24" s="8">
        <f t="shared" si="2"/>
        <v>109.1</v>
      </c>
      <c r="G24" s="8">
        <f t="shared" si="3"/>
        <v>33.67</v>
      </c>
      <c r="H24" s="8">
        <f t="shared" si="4"/>
        <v>142.76999999999998</v>
      </c>
      <c r="J24" s="8">
        <f>+'Federal Register Tables'!E29</f>
        <v>1.46</v>
      </c>
      <c r="K24" s="8">
        <f>+'Federal Register Tables'!F29</f>
        <v>111.97</v>
      </c>
      <c r="L24" s="8">
        <f t="shared" si="5"/>
        <v>80.62</v>
      </c>
      <c r="M24" s="8">
        <f t="shared" si="6"/>
        <v>101.6</v>
      </c>
      <c r="N24" s="8">
        <f t="shared" si="7"/>
        <v>31.35</v>
      </c>
      <c r="O24" s="8">
        <f t="shared" si="8"/>
        <v>132.94999999999999</v>
      </c>
      <c r="Q24" s="8">
        <f t="shared" si="9"/>
        <v>0</v>
      </c>
      <c r="R24" s="8">
        <f t="shared" si="10"/>
        <v>0</v>
      </c>
      <c r="S24" s="24" t="s">
        <v>113</v>
      </c>
      <c r="T24" s="8" t="s">
        <v>111</v>
      </c>
    </row>
    <row r="25" spans="1:20" x14ac:dyDescent="0.25">
      <c r="A25">
        <v>12</v>
      </c>
      <c r="B25" s="2" t="s">
        <v>93</v>
      </c>
      <c r="C25" s="8">
        <f>+'Federal Register Tables'!C30</f>
        <v>1.03</v>
      </c>
      <c r="D25" s="8">
        <f>+'Federal Register Tables'!D30</f>
        <v>86.01</v>
      </c>
      <c r="E25" s="8">
        <f t="shared" si="1"/>
        <v>61.93</v>
      </c>
      <c r="F25" s="8">
        <f t="shared" si="2"/>
        <v>78.040000000000006</v>
      </c>
      <c r="G25" s="8">
        <f t="shared" si="3"/>
        <v>24.08</v>
      </c>
      <c r="H25" s="8">
        <f t="shared" si="4"/>
        <v>102.12</v>
      </c>
      <c r="J25" s="8">
        <f>+'Federal Register Tables'!E30</f>
        <v>1.05</v>
      </c>
      <c r="K25" s="8">
        <f>+'Federal Register Tables'!F30</f>
        <v>80.52</v>
      </c>
      <c r="L25" s="8">
        <f t="shared" si="5"/>
        <v>57.97</v>
      </c>
      <c r="M25" s="8">
        <f t="shared" si="6"/>
        <v>73.05</v>
      </c>
      <c r="N25" s="8">
        <f t="shared" si="7"/>
        <v>22.55</v>
      </c>
      <c r="O25" s="8">
        <f t="shared" si="8"/>
        <v>95.6</v>
      </c>
      <c r="Q25" s="8">
        <f t="shared" si="9"/>
        <v>0</v>
      </c>
      <c r="R25" s="8">
        <f t="shared" si="10"/>
        <v>0</v>
      </c>
      <c r="S25" s="24" t="s">
        <v>113</v>
      </c>
      <c r="T25" s="8">
        <v>24</v>
      </c>
    </row>
    <row r="26" spans="1:20" x14ac:dyDescent="0.25">
      <c r="A26">
        <v>13</v>
      </c>
      <c r="B26" s="2" t="s">
        <v>94</v>
      </c>
      <c r="C26" s="8">
        <f>+'Federal Register Tables'!C31</f>
        <v>1.2</v>
      </c>
      <c r="D26" s="8">
        <f>+'Federal Register Tables'!D31</f>
        <v>100.2</v>
      </c>
      <c r="E26" s="8">
        <f t="shared" si="1"/>
        <v>72.14</v>
      </c>
      <c r="F26" s="8">
        <f t="shared" si="2"/>
        <v>90.91</v>
      </c>
      <c r="G26" s="8">
        <f t="shared" si="3"/>
        <v>28.06</v>
      </c>
      <c r="H26" s="8">
        <f t="shared" si="4"/>
        <v>118.97</v>
      </c>
      <c r="J26" s="8">
        <f>+'Federal Register Tables'!E31</f>
        <v>1.23</v>
      </c>
      <c r="K26" s="8">
        <f>+'Federal Register Tables'!F31</f>
        <v>94.33</v>
      </c>
      <c r="L26" s="8">
        <f t="shared" si="5"/>
        <v>67.92</v>
      </c>
      <c r="M26" s="8">
        <f t="shared" si="6"/>
        <v>85.59</v>
      </c>
      <c r="N26" s="8">
        <f t="shared" si="7"/>
        <v>26.41</v>
      </c>
      <c r="O26" s="8">
        <f t="shared" si="8"/>
        <v>112</v>
      </c>
      <c r="Q26" s="8">
        <f t="shared" si="9"/>
        <v>0</v>
      </c>
      <c r="R26" s="8">
        <f t="shared" si="10"/>
        <v>0</v>
      </c>
      <c r="S26" s="24" t="s">
        <v>114</v>
      </c>
      <c r="T26" s="8" t="s">
        <v>109</v>
      </c>
    </row>
    <row r="27" spans="1:20" x14ac:dyDescent="0.25">
      <c r="A27">
        <v>14</v>
      </c>
      <c r="B27" s="2" t="s">
        <v>73</v>
      </c>
      <c r="C27" s="8">
        <f>+'Federal Register Tables'!C32</f>
        <v>1.4</v>
      </c>
      <c r="D27" s="8">
        <f>+'Federal Register Tables'!D32</f>
        <v>116.9</v>
      </c>
      <c r="E27" s="8">
        <f t="shared" si="1"/>
        <v>84.17</v>
      </c>
      <c r="F27" s="8">
        <f t="shared" si="2"/>
        <v>106.07</v>
      </c>
      <c r="G27" s="8">
        <f t="shared" si="3"/>
        <v>32.729999999999997</v>
      </c>
      <c r="H27" s="8">
        <f t="shared" si="4"/>
        <v>138.79999999999998</v>
      </c>
      <c r="J27" s="8">
        <f>+'Federal Register Tables'!E32</f>
        <v>1.42</v>
      </c>
      <c r="K27" s="8">
        <f>+'Federal Register Tables'!F32</f>
        <v>108.9</v>
      </c>
      <c r="L27" s="8">
        <f t="shared" si="5"/>
        <v>78.41</v>
      </c>
      <c r="M27" s="8">
        <f t="shared" si="6"/>
        <v>98.81</v>
      </c>
      <c r="N27" s="8">
        <f t="shared" si="7"/>
        <v>30.49</v>
      </c>
      <c r="O27" s="8">
        <f t="shared" si="8"/>
        <v>129.30000000000001</v>
      </c>
      <c r="Q27" s="8">
        <f t="shared" si="9"/>
        <v>0</v>
      </c>
      <c r="R27" s="8">
        <f t="shared" si="10"/>
        <v>0</v>
      </c>
      <c r="S27" s="24" t="s">
        <v>114</v>
      </c>
      <c r="T27" s="8" t="s">
        <v>110</v>
      </c>
    </row>
    <row r="28" spans="1:20" x14ac:dyDescent="0.25">
      <c r="A28">
        <v>15</v>
      </c>
      <c r="B28" s="2" t="s">
        <v>95</v>
      </c>
      <c r="C28" s="8">
        <f>+'Federal Register Tables'!C33</f>
        <v>1.47</v>
      </c>
      <c r="D28" s="8">
        <f>+'Federal Register Tables'!D33</f>
        <v>122.75</v>
      </c>
      <c r="E28" s="8">
        <f t="shared" si="1"/>
        <v>88.38</v>
      </c>
      <c r="F28" s="8">
        <f t="shared" si="2"/>
        <v>111.38</v>
      </c>
      <c r="G28" s="8">
        <f t="shared" si="3"/>
        <v>34.369999999999997</v>
      </c>
      <c r="H28" s="8">
        <f t="shared" si="4"/>
        <v>145.75</v>
      </c>
      <c r="J28" s="8">
        <f>+'Federal Register Tables'!E33</f>
        <v>1.47</v>
      </c>
      <c r="K28" s="8">
        <f>+'Federal Register Tables'!F33</f>
        <v>112.73</v>
      </c>
      <c r="L28" s="8">
        <f t="shared" si="5"/>
        <v>81.17</v>
      </c>
      <c r="M28" s="8">
        <f t="shared" si="6"/>
        <v>102.29</v>
      </c>
      <c r="N28" s="8">
        <f t="shared" si="7"/>
        <v>31.56</v>
      </c>
      <c r="O28" s="8">
        <f t="shared" si="8"/>
        <v>133.85</v>
      </c>
      <c r="Q28" s="8">
        <f t="shared" si="9"/>
        <v>0</v>
      </c>
      <c r="R28" s="8">
        <f t="shared" si="10"/>
        <v>0</v>
      </c>
      <c r="S28" s="24" t="s">
        <v>114</v>
      </c>
      <c r="T28" s="8" t="s">
        <v>111</v>
      </c>
    </row>
    <row r="29" spans="1:20" x14ac:dyDescent="0.25">
      <c r="A29">
        <v>16</v>
      </c>
      <c r="B29" s="2" t="s">
        <v>96</v>
      </c>
      <c r="C29" s="8">
        <f>+'Federal Register Tables'!C34</f>
        <v>1.02</v>
      </c>
      <c r="D29" s="8">
        <f>+'Federal Register Tables'!D34</f>
        <v>85.17</v>
      </c>
      <c r="E29" s="8">
        <f t="shared" si="1"/>
        <v>61.32</v>
      </c>
      <c r="F29" s="8">
        <f t="shared" si="2"/>
        <v>77.28</v>
      </c>
      <c r="G29" s="8">
        <f t="shared" si="3"/>
        <v>23.85</v>
      </c>
      <c r="H29" s="8">
        <f t="shared" si="4"/>
        <v>101.13</v>
      </c>
      <c r="J29" s="8">
        <f>+'Federal Register Tables'!E34</f>
        <v>1.03</v>
      </c>
      <c r="K29" s="8">
        <f>+'Federal Register Tables'!F34</f>
        <v>78.989999999999995</v>
      </c>
      <c r="L29" s="8">
        <f t="shared" si="5"/>
        <v>56.87</v>
      </c>
      <c r="M29" s="8">
        <f t="shared" si="6"/>
        <v>71.67</v>
      </c>
      <c r="N29" s="8">
        <f t="shared" si="7"/>
        <v>22.12</v>
      </c>
      <c r="O29" s="8">
        <f t="shared" si="8"/>
        <v>93.79</v>
      </c>
      <c r="Q29" s="8">
        <f t="shared" si="9"/>
        <v>0</v>
      </c>
      <c r="R29" s="8">
        <f t="shared" si="10"/>
        <v>0</v>
      </c>
      <c r="S29" s="24" t="s">
        <v>114</v>
      </c>
      <c r="T29" s="8">
        <v>24</v>
      </c>
    </row>
    <row r="32" spans="1:20" x14ac:dyDescent="0.25">
      <c r="D32" s="26" t="s">
        <v>2</v>
      </c>
      <c r="E32" s="26" t="s">
        <v>3</v>
      </c>
    </row>
    <row r="33" spans="2:5" x14ac:dyDescent="0.25">
      <c r="B33" t="s">
        <v>188</v>
      </c>
      <c r="D33" s="12">
        <f>MAX(C14:C29)</f>
        <v>1.81</v>
      </c>
      <c r="E33" s="12">
        <f>MAX(J14:J29)</f>
        <v>1.6</v>
      </c>
    </row>
    <row r="34" spans="2:5" x14ac:dyDescent="0.25">
      <c r="B34" t="s">
        <v>189</v>
      </c>
      <c r="D34" s="12">
        <f>MIN(C14:C29)</f>
        <v>1.02</v>
      </c>
      <c r="E34" s="12">
        <f>MIN(J14:J29)</f>
        <v>1.03</v>
      </c>
    </row>
    <row r="35" spans="2:5" x14ac:dyDescent="0.25">
      <c r="B35" t="s">
        <v>190</v>
      </c>
      <c r="D35" s="12">
        <f>AVERAGE(C14:C29)</f>
        <v>1.3849999999999998</v>
      </c>
      <c r="E35" s="12">
        <f>AVERAGE(J14:J29)</f>
        <v>1.3518750000000002</v>
      </c>
    </row>
    <row r="36" spans="2:5" x14ac:dyDescent="0.25">
      <c r="D36" s="12"/>
    </row>
    <row r="37" spans="2:5" x14ac:dyDescent="0.25">
      <c r="B37" t="s">
        <v>191</v>
      </c>
      <c r="D37" s="12">
        <f>+E9</f>
        <v>83.5</v>
      </c>
      <c r="E37" s="12">
        <f>+F9</f>
        <v>76.69</v>
      </c>
    </row>
    <row r="38" spans="2:5" x14ac:dyDescent="0.25">
      <c r="D38" s="12"/>
    </row>
    <row r="39" spans="2:5" x14ac:dyDescent="0.25">
      <c r="B39" t="s">
        <v>192</v>
      </c>
      <c r="D39" s="12">
        <f>MAX(H14:H29)</f>
        <v>179.45</v>
      </c>
      <c r="E39" s="12">
        <f>MAX(O14:O29)</f>
        <v>145.69</v>
      </c>
    </row>
    <row r="40" spans="2:5" x14ac:dyDescent="0.25">
      <c r="B40" t="s">
        <v>193</v>
      </c>
      <c r="D40" s="12">
        <f>MIN(H14:H29)</f>
        <v>101.13</v>
      </c>
      <c r="E40" s="12">
        <f>MIN(O14:O29)</f>
        <v>93.79</v>
      </c>
    </row>
    <row r="41" spans="2:5" x14ac:dyDescent="0.25">
      <c r="B41" t="s">
        <v>194</v>
      </c>
      <c r="D41" s="12">
        <f>AVERAGE(H14:H29)</f>
        <v>137.31562499999998</v>
      </c>
      <c r="E41" s="12">
        <f>AVERAGE(O14:O29)</f>
        <v>123.09687499999998</v>
      </c>
    </row>
    <row r="43" spans="2:5" x14ac:dyDescent="0.25">
      <c r="B43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M37"/>
  <sheetViews>
    <sheetView showGridLines="0" workbookViewId="0">
      <selection activeCell="E10" sqref="E10"/>
    </sheetView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  <col min="10" max="10" width="9.140625" hidden="1" customWidth="1"/>
    <col min="12" max="12" width="46.85546875" bestFit="1" customWidth="1"/>
    <col min="13" max="13" width="26.85546875" bestFit="1" customWidth="1"/>
  </cols>
  <sheetData>
    <row r="2" spans="1:13" x14ac:dyDescent="0.25">
      <c r="B2" t="s">
        <v>70</v>
      </c>
      <c r="C2" s="18" t="str">
        <f>+Summary!C5</f>
        <v xml:space="preserve">California </v>
      </c>
    </row>
    <row r="3" spans="1:13" x14ac:dyDescent="0.25">
      <c r="B3" t="s">
        <v>78</v>
      </c>
      <c r="C3" s="18">
        <f>+Summary!C6</f>
        <v>5</v>
      </c>
    </row>
    <row r="4" spans="1:13" x14ac:dyDescent="0.25">
      <c r="B4" t="s">
        <v>251</v>
      </c>
      <c r="C4" t="str">
        <f>+Summary!C7</f>
        <v xml:space="preserve">California </v>
      </c>
    </row>
    <row r="5" spans="1:13" x14ac:dyDescent="0.25">
      <c r="B5" t="s">
        <v>66</v>
      </c>
      <c r="C5" s="17">
        <f>+Summary!C8</f>
        <v>1.2602</v>
      </c>
    </row>
    <row r="8" spans="1:13" x14ac:dyDescent="0.25">
      <c r="B8" s="21" t="s">
        <v>0</v>
      </c>
      <c r="C8" s="22"/>
      <c r="D8" s="23"/>
      <c r="E8" s="7" t="s">
        <v>4</v>
      </c>
    </row>
    <row r="9" spans="1:13" x14ac:dyDescent="0.25">
      <c r="B9" s="21" t="s">
        <v>1</v>
      </c>
      <c r="C9" s="22"/>
      <c r="D9" s="23"/>
      <c r="E9" s="11">
        <f>+'Federal Register Tables'!E10</f>
        <v>34.46</v>
      </c>
    </row>
    <row r="11" spans="1:13" x14ac:dyDescent="0.25">
      <c r="E11" s="9">
        <f>+'Federal Register Tables'!C76</f>
        <v>0.72</v>
      </c>
      <c r="F11" s="20">
        <f>+C5</f>
        <v>1.2602</v>
      </c>
      <c r="G11" s="9">
        <f>1-E11</f>
        <v>0.28000000000000003</v>
      </c>
    </row>
    <row r="12" spans="1:13" x14ac:dyDescent="0.25">
      <c r="B12" s="4" t="s">
        <v>69</v>
      </c>
      <c r="C12" s="4" t="s">
        <v>4</v>
      </c>
      <c r="D12" s="4" t="s">
        <v>4</v>
      </c>
      <c r="E12" s="4" t="s">
        <v>4</v>
      </c>
      <c r="F12" s="4" t="s">
        <v>66</v>
      </c>
      <c r="G12" s="4" t="s">
        <v>4</v>
      </c>
      <c r="H12" s="4" t="s">
        <v>4</v>
      </c>
      <c r="J12" s="4" t="s">
        <v>4</v>
      </c>
      <c r="L12" s="4" t="s">
        <v>165</v>
      </c>
      <c r="M12" s="4" t="s">
        <v>167</v>
      </c>
    </row>
    <row r="13" spans="1:13" x14ac:dyDescent="0.25">
      <c r="B13" s="5" t="s">
        <v>9</v>
      </c>
      <c r="C13" s="5" t="s">
        <v>10</v>
      </c>
      <c r="D13" s="5" t="s">
        <v>11</v>
      </c>
      <c r="E13" s="5" t="s">
        <v>65</v>
      </c>
      <c r="F13" s="5" t="s">
        <v>79</v>
      </c>
      <c r="G13" s="5" t="s">
        <v>67</v>
      </c>
      <c r="H13" s="5" t="s">
        <v>63</v>
      </c>
      <c r="J13" s="5" t="s">
        <v>80</v>
      </c>
      <c r="L13" s="5" t="s">
        <v>166</v>
      </c>
      <c r="M13" s="5" t="s">
        <v>168</v>
      </c>
    </row>
    <row r="14" spans="1:13" x14ac:dyDescent="0.25">
      <c r="A14">
        <v>1</v>
      </c>
      <c r="B14" s="2" t="s">
        <v>97</v>
      </c>
      <c r="C14" s="8">
        <f>+'Federal Register Tables'!G19</f>
        <v>0.64</v>
      </c>
      <c r="D14" s="8">
        <f>+'Federal Register Tables'!H19</f>
        <v>22.05</v>
      </c>
      <c r="E14" s="8">
        <f>ROUND(D14*$E$11,2)</f>
        <v>15.88</v>
      </c>
      <c r="F14" s="8">
        <f>ROUND(E14*$F$11,2)</f>
        <v>20.010000000000002</v>
      </c>
      <c r="G14" s="8">
        <f>ROUND(D14*$G$11,2)</f>
        <v>6.17</v>
      </c>
      <c r="H14" s="8">
        <f>+F14+G14</f>
        <v>26.18</v>
      </c>
      <c r="J14" s="8">
        <f>ROUND(C14*$E$9,2)-D14</f>
        <v>0</v>
      </c>
      <c r="L14" s="8" t="s">
        <v>158</v>
      </c>
      <c r="M14" s="8" t="s">
        <v>159</v>
      </c>
    </row>
    <row r="15" spans="1:13" x14ac:dyDescent="0.25">
      <c r="A15">
        <v>2</v>
      </c>
      <c r="B15" s="2" t="s">
        <v>98</v>
      </c>
      <c r="C15" s="8">
        <f>+'Federal Register Tables'!G20</f>
        <v>1.72</v>
      </c>
      <c r="D15" s="8">
        <f>+'Federal Register Tables'!H20</f>
        <v>59.27</v>
      </c>
      <c r="E15" s="8">
        <f t="shared" ref="E15:E25" si="0">ROUND(D15*$E$11,2)</f>
        <v>42.67</v>
      </c>
      <c r="F15" s="8">
        <f t="shared" ref="F15:F25" si="1">ROUND(E15*$F$11,2)</f>
        <v>53.77</v>
      </c>
      <c r="G15" s="8">
        <f t="shared" ref="G15:G25" si="2">ROUND(D15*$G$11,2)</f>
        <v>16.600000000000001</v>
      </c>
      <c r="H15" s="8">
        <f t="shared" ref="H15:H25" si="3">+F15+G15</f>
        <v>70.37</v>
      </c>
      <c r="J15" s="8">
        <f>ROUND(C15*$E$9,2)-D15</f>
        <v>0</v>
      </c>
      <c r="L15" s="8" t="s">
        <v>158</v>
      </c>
      <c r="M15" s="8" t="s">
        <v>160</v>
      </c>
    </row>
    <row r="16" spans="1:13" x14ac:dyDescent="0.25">
      <c r="A16">
        <v>3</v>
      </c>
      <c r="B16" s="2" t="s">
        <v>71</v>
      </c>
      <c r="C16" s="8">
        <f>+'Federal Register Tables'!G21</f>
        <v>2.52</v>
      </c>
      <c r="D16" s="8">
        <f>+'Federal Register Tables'!H21</f>
        <v>86.84</v>
      </c>
      <c r="E16" s="8">
        <f t="shared" si="0"/>
        <v>62.52</v>
      </c>
      <c r="F16" s="8">
        <f t="shared" si="1"/>
        <v>78.790000000000006</v>
      </c>
      <c r="G16" s="8">
        <f t="shared" si="2"/>
        <v>24.32</v>
      </c>
      <c r="H16" s="8">
        <f t="shared" si="3"/>
        <v>103.11000000000001</v>
      </c>
      <c r="J16" s="8">
        <f>ROUND(C16*$E$9,2)-D16</f>
        <v>0</v>
      </c>
      <c r="L16" s="8" t="s">
        <v>158</v>
      </c>
      <c r="M16" s="8" t="s">
        <v>161</v>
      </c>
    </row>
    <row r="17" spans="1:13" x14ac:dyDescent="0.25">
      <c r="A17">
        <v>4</v>
      </c>
      <c r="B17" s="2" t="s">
        <v>76</v>
      </c>
      <c r="C17" s="8">
        <f>+'Federal Register Tables'!G22</f>
        <v>1.38</v>
      </c>
      <c r="D17" s="8">
        <f>+'Federal Register Tables'!H22</f>
        <v>47.55</v>
      </c>
      <c r="E17" s="8">
        <f t="shared" si="0"/>
        <v>34.24</v>
      </c>
      <c r="F17" s="8">
        <f t="shared" si="1"/>
        <v>43.15</v>
      </c>
      <c r="G17" s="8">
        <f t="shared" si="2"/>
        <v>13.31</v>
      </c>
      <c r="H17" s="8">
        <f t="shared" si="3"/>
        <v>56.46</v>
      </c>
      <c r="J17" s="8">
        <f t="shared" ref="J17:J25" si="4">ROUND(C17*$E$9,2)-D17</f>
        <v>0</v>
      </c>
      <c r="L17" s="8" t="s">
        <v>162</v>
      </c>
      <c r="M17" s="8" t="s">
        <v>159</v>
      </c>
    </row>
    <row r="18" spans="1:13" x14ac:dyDescent="0.25">
      <c r="A18">
        <v>5</v>
      </c>
      <c r="B18" s="2" t="s">
        <v>99</v>
      </c>
      <c r="C18" s="8">
        <f>+'Federal Register Tables'!G23</f>
        <v>2.21</v>
      </c>
      <c r="D18" s="8">
        <f>+'Federal Register Tables'!H23</f>
        <v>76.16</v>
      </c>
      <c r="E18" s="8">
        <f t="shared" si="0"/>
        <v>54.84</v>
      </c>
      <c r="F18" s="8">
        <f t="shared" si="1"/>
        <v>69.11</v>
      </c>
      <c r="G18" s="8">
        <f t="shared" si="2"/>
        <v>21.32</v>
      </c>
      <c r="H18" s="8">
        <f t="shared" si="3"/>
        <v>90.43</v>
      </c>
      <c r="J18" s="8">
        <f t="shared" si="4"/>
        <v>0</v>
      </c>
      <c r="L18" s="8" t="s">
        <v>162</v>
      </c>
      <c r="M18" s="8" t="s">
        <v>160</v>
      </c>
    </row>
    <row r="19" spans="1:13" x14ac:dyDescent="0.25">
      <c r="A19">
        <v>6</v>
      </c>
      <c r="B19" s="2" t="s">
        <v>100</v>
      </c>
      <c r="C19" s="8">
        <f>+'Federal Register Tables'!G24</f>
        <v>2.82</v>
      </c>
      <c r="D19" s="8">
        <f>+'Federal Register Tables'!H24</f>
        <v>97.18</v>
      </c>
      <c r="E19" s="8">
        <f t="shared" si="0"/>
        <v>69.97</v>
      </c>
      <c r="F19" s="8">
        <f t="shared" si="1"/>
        <v>88.18</v>
      </c>
      <c r="G19" s="8">
        <f t="shared" si="2"/>
        <v>27.21</v>
      </c>
      <c r="H19" s="8">
        <f t="shared" si="3"/>
        <v>115.39000000000001</v>
      </c>
      <c r="J19" s="8">
        <f t="shared" si="4"/>
        <v>0</v>
      </c>
      <c r="L19" s="8" t="s">
        <v>162</v>
      </c>
      <c r="M19" s="8" t="s">
        <v>161</v>
      </c>
    </row>
    <row r="20" spans="1:13" x14ac:dyDescent="0.25">
      <c r="A20">
        <v>7</v>
      </c>
      <c r="B20" s="2" t="s">
        <v>101</v>
      </c>
      <c r="C20" s="8">
        <f>+'Federal Register Tables'!G25</f>
        <v>1.93</v>
      </c>
      <c r="D20" s="8">
        <f>+'Federal Register Tables'!H25</f>
        <v>66.510000000000005</v>
      </c>
      <c r="E20" s="8">
        <f t="shared" si="0"/>
        <v>47.89</v>
      </c>
      <c r="F20" s="8">
        <f t="shared" si="1"/>
        <v>60.35</v>
      </c>
      <c r="G20" s="8">
        <f t="shared" si="2"/>
        <v>18.62</v>
      </c>
      <c r="H20" s="8">
        <f t="shared" si="3"/>
        <v>78.97</v>
      </c>
      <c r="J20" s="8">
        <f t="shared" si="4"/>
        <v>0</v>
      </c>
      <c r="L20" s="8" t="s">
        <v>163</v>
      </c>
      <c r="M20" s="8" t="s">
        <v>159</v>
      </c>
    </row>
    <row r="21" spans="1:13" x14ac:dyDescent="0.25">
      <c r="A21">
        <v>8</v>
      </c>
      <c r="B21" s="2" t="s">
        <v>102</v>
      </c>
      <c r="C21" s="8">
        <f>+'Federal Register Tables'!G26</f>
        <v>2.7</v>
      </c>
      <c r="D21" s="8">
        <f>+'Federal Register Tables'!H26</f>
        <v>93.04</v>
      </c>
      <c r="E21" s="8">
        <f t="shared" si="0"/>
        <v>66.989999999999995</v>
      </c>
      <c r="F21" s="8">
        <f t="shared" si="1"/>
        <v>84.42</v>
      </c>
      <c r="G21" s="8">
        <f t="shared" si="2"/>
        <v>26.05</v>
      </c>
      <c r="H21" s="8">
        <f t="shared" si="3"/>
        <v>110.47</v>
      </c>
      <c r="J21" s="8">
        <f t="shared" si="4"/>
        <v>0</v>
      </c>
      <c r="L21" s="8" t="s">
        <v>163</v>
      </c>
      <c r="M21" s="8" t="s">
        <v>160</v>
      </c>
    </row>
    <row r="22" spans="1:13" x14ac:dyDescent="0.25">
      <c r="A22">
        <v>9</v>
      </c>
      <c r="B22" s="2" t="s">
        <v>103</v>
      </c>
      <c r="C22" s="8">
        <f>+'Federal Register Tables'!G27</f>
        <v>3.34</v>
      </c>
      <c r="D22" s="8">
        <f>+'Federal Register Tables'!H27</f>
        <v>115.1</v>
      </c>
      <c r="E22" s="8">
        <f t="shared" si="0"/>
        <v>82.87</v>
      </c>
      <c r="F22" s="8">
        <f t="shared" si="1"/>
        <v>104.43</v>
      </c>
      <c r="G22" s="8">
        <f t="shared" si="2"/>
        <v>32.229999999999997</v>
      </c>
      <c r="H22" s="8">
        <f t="shared" si="3"/>
        <v>136.66</v>
      </c>
      <c r="J22" s="8">
        <f t="shared" si="4"/>
        <v>0</v>
      </c>
      <c r="L22" s="8" t="s">
        <v>163</v>
      </c>
      <c r="M22" s="8" t="s">
        <v>161</v>
      </c>
    </row>
    <row r="23" spans="1:13" x14ac:dyDescent="0.25">
      <c r="A23">
        <v>10</v>
      </c>
      <c r="B23" s="2" t="s">
        <v>104</v>
      </c>
      <c r="C23" s="8">
        <f>+'Federal Register Tables'!G28</f>
        <v>2.83</v>
      </c>
      <c r="D23" s="8">
        <f>+'Federal Register Tables'!H28</f>
        <v>97.52</v>
      </c>
      <c r="E23" s="8">
        <f t="shared" si="0"/>
        <v>70.209999999999994</v>
      </c>
      <c r="F23" s="8">
        <f t="shared" si="1"/>
        <v>88.48</v>
      </c>
      <c r="G23" s="8">
        <f t="shared" si="2"/>
        <v>27.31</v>
      </c>
      <c r="H23" s="8">
        <f t="shared" si="3"/>
        <v>115.79</v>
      </c>
      <c r="J23" s="8">
        <f t="shared" si="4"/>
        <v>0</v>
      </c>
      <c r="L23" s="8" t="s">
        <v>164</v>
      </c>
      <c r="M23" s="8" t="s">
        <v>159</v>
      </c>
    </row>
    <row r="24" spans="1:13" x14ac:dyDescent="0.25">
      <c r="A24">
        <v>11</v>
      </c>
      <c r="B24" s="2" t="s">
        <v>105</v>
      </c>
      <c r="C24" s="8">
        <f>+'Federal Register Tables'!G29</f>
        <v>3.5</v>
      </c>
      <c r="D24" s="8">
        <f>+'Federal Register Tables'!H29</f>
        <v>120.61</v>
      </c>
      <c r="E24" s="8">
        <f t="shared" si="0"/>
        <v>86.84</v>
      </c>
      <c r="F24" s="8">
        <f t="shared" si="1"/>
        <v>109.44</v>
      </c>
      <c r="G24" s="8">
        <f t="shared" si="2"/>
        <v>33.770000000000003</v>
      </c>
      <c r="H24" s="8">
        <f t="shared" si="3"/>
        <v>143.21</v>
      </c>
      <c r="J24" s="8">
        <f t="shared" si="4"/>
        <v>0</v>
      </c>
      <c r="L24" s="8" t="s">
        <v>164</v>
      </c>
      <c r="M24" s="8" t="s">
        <v>160</v>
      </c>
    </row>
    <row r="25" spans="1:13" x14ac:dyDescent="0.25">
      <c r="A25">
        <v>12</v>
      </c>
      <c r="B25" s="2" t="s">
        <v>106</v>
      </c>
      <c r="C25" s="8">
        <f>+'Federal Register Tables'!G30</f>
        <v>3.98</v>
      </c>
      <c r="D25" s="8">
        <f>+'Federal Register Tables'!H30</f>
        <v>137.15</v>
      </c>
      <c r="E25" s="8">
        <f t="shared" si="0"/>
        <v>98.75</v>
      </c>
      <c r="F25" s="8">
        <f t="shared" si="1"/>
        <v>124.44</v>
      </c>
      <c r="G25" s="8">
        <f t="shared" si="2"/>
        <v>38.4</v>
      </c>
      <c r="H25" s="8">
        <f t="shared" si="3"/>
        <v>162.84</v>
      </c>
      <c r="J25" s="8">
        <f t="shared" si="4"/>
        <v>0</v>
      </c>
      <c r="L25" s="8" t="s">
        <v>164</v>
      </c>
      <c r="M25" s="8" t="s">
        <v>161</v>
      </c>
    </row>
    <row r="29" spans="1:13" x14ac:dyDescent="0.25">
      <c r="B29" t="s">
        <v>188</v>
      </c>
      <c r="D29" s="12">
        <f>MAX(C14:C25)</f>
        <v>3.98</v>
      </c>
    </row>
    <row r="30" spans="1:13" x14ac:dyDescent="0.25">
      <c r="B30" t="s">
        <v>189</v>
      </c>
      <c r="D30" s="12">
        <f>MIN(C14:C25)</f>
        <v>0.64</v>
      </c>
    </row>
    <row r="31" spans="1:13" x14ac:dyDescent="0.25">
      <c r="B31" t="s">
        <v>190</v>
      </c>
      <c r="D31" s="12">
        <f>AVERAGE(C14:C25)</f>
        <v>2.4641666666666664</v>
      </c>
    </row>
    <row r="32" spans="1:13" x14ac:dyDescent="0.25">
      <c r="D32" s="12"/>
    </row>
    <row r="33" spans="2:4" x14ac:dyDescent="0.25">
      <c r="B33" t="s">
        <v>191</v>
      </c>
      <c r="D33" s="12">
        <f>+E9</f>
        <v>34.46</v>
      </c>
    </row>
    <row r="34" spans="2:4" x14ac:dyDescent="0.25">
      <c r="D34" s="12"/>
    </row>
    <row r="35" spans="2:4" x14ac:dyDescent="0.25">
      <c r="B35" t="s">
        <v>192</v>
      </c>
      <c r="D35" s="12">
        <f>MAX(H14:H25)</f>
        <v>162.84</v>
      </c>
    </row>
    <row r="36" spans="2:4" x14ac:dyDescent="0.25">
      <c r="B36" t="s">
        <v>193</v>
      </c>
      <c r="D36" s="12">
        <f>MIN(H14:H25)</f>
        <v>26.18</v>
      </c>
    </row>
    <row r="37" spans="2:4" x14ac:dyDescent="0.25">
      <c r="B37" t="s">
        <v>194</v>
      </c>
      <c r="D37" s="12">
        <f>AVERAGE(H14:H25)</f>
        <v>100.82333333333332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J31"/>
  <sheetViews>
    <sheetView showGridLines="0" workbookViewId="0">
      <selection activeCell="E10" sqref="E10"/>
    </sheetView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  <col min="10" max="10" width="9.140625" hidden="1" customWidth="1"/>
  </cols>
  <sheetData>
    <row r="2" spans="1:10" x14ac:dyDescent="0.25">
      <c r="B2" t="s">
        <v>70</v>
      </c>
      <c r="C2" s="18" t="str">
        <f>+Summary!C5</f>
        <v xml:space="preserve">California </v>
      </c>
    </row>
    <row r="3" spans="1:10" x14ac:dyDescent="0.25">
      <c r="B3" t="s">
        <v>78</v>
      </c>
      <c r="C3" s="18">
        <f>+Summary!C6</f>
        <v>5</v>
      </c>
    </row>
    <row r="4" spans="1:10" x14ac:dyDescent="0.25">
      <c r="B4" t="s">
        <v>251</v>
      </c>
      <c r="C4" t="str">
        <f>+Summary!C7</f>
        <v xml:space="preserve">California </v>
      </c>
    </row>
    <row r="5" spans="1:10" x14ac:dyDescent="0.25">
      <c r="B5" t="s">
        <v>66</v>
      </c>
      <c r="C5" s="17">
        <f>+Summary!C8</f>
        <v>1.2602</v>
      </c>
    </row>
    <row r="8" spans="1:10" x14ac:dyDescent="0.25">
      <c r="B8" s="21" t="s">
        <v>0</v>
      </c>
      <c r="C8" s="22"/>
      <c r="D8" s="23"/>
      <c r="E8" s="7" t="s">
        <v>6</v>
      </c>
    </row>
    <row r="9" spans="1:10" x14ac:dyDescent="0.25">
      <c r="B9" s="21" t="s">
        <v>1</v>
      </c>
      <c r="C9" s="22"/>
      <c r="D9" s="23"/>
      <c r="E9" s="11">
        <f>+'Federal Register Tables'!G10</f>
        <v>92.03</v>
      </c>
    </row>
    <row r="11" spans="1:10" x14ac:dyDescent="0.25">
      <c r="E11" s="9">
        <f>+'Federal Register Tables'!C76</f>
        <v>0.72</v>
      </c>
      <c r="F11" s="20">
        <f>+C5</f>
        <v>1.2602</v>
      </c>
      <c r="G11" s="9">
        <f>1-E11</f>
        <v>0.28000000000000003</v>
      </c>
    </row>
    <row r="12" spans="1:10" x14ac:dyDescent="0.25">
      <c r="B12" s="4" t="s">
        <v>69</v>
      </c>
      <c r="C12" s="4" t="s">
        <v>6</v>
      </c>
      <c r="D12" s="4" t="s">
        <v>6</v>
      </c>
      <c r="E12" s="4" t="s">
        <v>6</v>
      </c>
      <c r="F12" s="4" t="s">
        <v>66</v>
      </c>
      <c r="G12" s="4" t="s">
        <v>6</v>
      </c>
      <c r="H12" s="4" t="s">
        <v>6</v>
      </c>
      <c r="J12" s="4" t="s">
        <v>6</v>
      </c>
    </row>
    <row r="13" spans="1:10" x14ac:dyDescent="0.25">
      <c r="B13" s="5" t="s">
        <v>9</v>
      </c>
      <c r="C13" s="5" t="s">
        <v>10</v>
      </c>
      <c r="D13" s="5" t="s">
        <v>11</v>
      </c>
      <c r="E13" s="5" t="s">
        <v>65</v>
      </c>
      <c r="F13" s="5" t="s">
        <v>79</v>
      </c>
      <c r="G13" s="5" t="s">
        <v>67</v>
      </c>
      <c r="H13" s="5" t="s">
        <v>63</v>
      </c>
      <c r="J13" s="5" t="s">
        <v>80</v>
      </c>
    </row>
    <row r="14" spans="1:10" x14ac:dyDescent="0.25">
      <c r="A14">
        <v>1</v>
      </c>
      <c r="B14" s="2" t="s">
        <v>169</v>
      </c>
      <c r="C14" s="8">
        <f>+'Federal Register Tables'!L19</f>
        <v>3.06</v>
      </c>
      <c r="D14" s="8">
        <f>+'Federal Register Tables'!M19</f>
        <v>281.61</v>
      </c>
      <c r="E14" s="8">
        <f>ROUND(D14*$E$11,2)</f>
        <v>202.76</v>
      </c>
      <c r="F14" s="8">
        <f>ROUND(E14*$F$11,2)</f>
        <v>255.52</v>
      </c>
      <c r="G14" s="8">
        <f>ROUND(D14*$G$11,2)</f>
        <v>78.849999999999994</v>
      </c>
      <c r="H14" s="8">
        <f>+F14+G14</f>
        <v>334.37</v>
      </c>
      <c r="J14" s="8">
        <f>ROUND(C14*$E$9,2)-D14</f>
        <v>0</v>
      </c>
    </row>
    <row r="15" spans="1:10" x14ac:dyDescent="0.25">
      <c r="A15">
        <v>2</v>
      </c>
      <c r="B15" s="2" t="s">
        <v>170</v>
      </c>
      <c r="C15" s="8">
        <f>+'Federal Register Tables'!L20</f>
        <v>2.39</v>
      </c>
      <c r="D15" s="8">
        <f>+'Federal Register Tables'!M20</f>
        <v>219.95</v>
      </c>
      <c r="E15" s="8">
        <f t="shared" ref="E15:E19" si="0">ROUND(D15*$E$11,2)</f>
        <v>158.36000000000001</v>
      </c>
      <c r="F15" s="8">
        <f t="shared" ref="F15:F19" si="1">ROUND(E15*$F$11,2)</f>
        <v>199.57</v>
      </c>
      <c r="G15" s="8">
        <f t="shared" ref="G15:G19" si="2">ROUND(D15*$G$11,2)</f>
        <v>61.59</v>
      </c>
      <c r="H15" s="8">
        <f t="shared" ref="H15:H19" si="3">+F15+G15</f>
        <v>261.15999999999997</v>
      </c>
      <c r="J15" s="8">
        <f>ROUND(C15*$E$9,2)-D15</f>
        <v>0</v>
      </c>
    </row>
    <row r="16" spans="1:10" x14ac:dyDescent="0.25">
      <c r="A16">
        <v>3</v>
      </c>
      <c r="B16" s="2" t="s">
        <v>72</v>
      </c>
      <c r="C16" s="8">
        <f>+'Federal Register Tables'!L21</f>
        <v>1.74</v>
      </c>
      <c r="D16" s="8">
        <f>+'Federal Register Tables'!M21</f>
        <v>160.13</v>
      </c>
      <c r="E16" s="8">
        <f t="shared" si="0"/>
        <v>115.29</v>
      </c>
      <c r="F16" s="8">
        <f t="shared" si="1"/>
        <v>145.29</v>
      </c>
      <c r="G16" s="8">
        <f t="shared" si="2"/>
        <v>44.84</v>
      </c>
      <c r="H16" s="8">
        <f t="shared" si="3"/>
        <v>190.13</v>
      </c>
      <c r="J16" s="8">
        <f>ROUND(C16*$E$9,2)-D16</f>
        <v>0</v>
      </c>
    </row>
    <row r="17" spans="1:10" x14ac:dyDescent="0.25">
      <c r="A17">
        <v>4</v>
      </c>
      <c r="B17" s="2" t="s">
        <v>75</v>
      </c>
      <c r="C17" s="8">
        <f>+'Federal Register Tables'!L22</f>
        <v>1.26</v>
      </c>
      <c r="D17" s="8">
        <f>+'Federal Register Tables'!M22</f>
        <v>115.96</v>
      </c>
      <c r="E17" s="8">
        <f t="shared" si="0"/>
        <v>83.49</v>
      </c>
      <c r="F17" s="8">
        <f t="shared" si="1"/>
        <v>105.21</v>
      </c>
      <c r="G17" s="8">
        <f t="shared" si="2"/>
        <v>32.47</v>
      </c>
      <c r="H17" s="8">
        <f t="shared" si="3"/>
        <v>137.68</v>
      </c>
      <c r="J17" s="8">
        <f t="shared" ref="J17:J19" si="4">ROUND(C17*$E$9,2)-D17</f>
        <v>0</v>
      </c>
    </row>
    <row r="18" spans="1:10" x14ac:dyDescent="0.25">
      <c r="A18">
        <v>5</v>
      </c>
      <c r="B18" s="2" t="s">
        <v>77</v>
      </c>
      <c r="C18" s="8">
        <f>+'Federal Register Tables'!L23</f>
        <v>0.91</v>
      </c>
      <c r="D18" s="8">
        <f>+'Federal Register Tables'!M23</f>
        <v>83.75</v>
      </c>
      <c r="E18" s="8">
        <f t="shared" si="0"/>
        <v>60.3</v>
      </c>
      <c r="F18" s="8">
        <f t="shared" si="1"/>
        <v>75.989999999999995</v>
      </c>
      <c r="G18" s="8">
        <f t="shared" si="2"/>
        <v>23.45</v>
      </c>
      <c r="H18" s="8">
        <f t="shared" si="3"/>
        <v>99.44</v>
      </c>
      <c r="J18" s="8">
        <f t="shared" si="4"/>
        <v>0</v>
      </c>
    </row>
    <row r="19" spans="1:10" x14ac:dyDescent="0.25">
      <c r="A19">
        <v>6</v>
      </c>
      <c r="B19" s="2" t="s">
        <v>171</v>
      </c>
      <c r="C19" s="8">
        <f>+'Federal Register Tables'!L24</f>
        <v>0.68</v>
      </c>
      <c r="D19" s="8">
        <f>+'Federal Register Tables'!M24</f>
        <v>62.58</v>
      </c>
      <c r="E19" s="8">
        <f t="shared" si="0"/>
        <v>45.06</v>
      </c>
      <c r="F19" s="8">
        <f t="shared" si="1"/>
        <v>56.78</v>
      </c>
      <c r="G19" s="8">
        <f t="shared" si="2"/>
        <v>17.52</v>
      </c>
      <c r="H19" s="8">
        <f t="shared" si="3"/>
        <v>74.3</v>
      </c>
      <c r="J19" s="8">
        <f t="shared" si="4"/>
        <v>0</v>
      </c>
    </row>
    <row r="23" spans="1:10" x14ac:dyDescent="0.25">
      <c r="B23" t="s">
        <v>188</v>
      </c>
      <c r="D23" s="12">
        <f>MAX(C14:C19)</f>
        <v>3.06</v>
      </c>
    </row>
    <row r="24" spans="1:10" x14ac:dyDescent="0.25">
      <c r="B24" t="s">
        <v>189</v>
      </c>
      <c r="D24" s="12">
        <f>MIN(C14:C19)</f>
        <v>0.68</v>
      </c>
    </row>
    <row r="25" spans="1:10" x14ac:dyDescent="0.25">
      <c r="B25" t="s">
        <v>190</v>
      </c>
      <c r="D25" s="12">
        <f>AVERAGE(C14:C19)</f>
        <v>1.6733333333333336</v>
      </c>
    </row>
    <row r="26" spans="1:10" x14ac:dyDescent="0.25">
      <c r="D26" s="12"/>
    </row>
    <row r="27" spans="1:10" x14ac:dyDescent="0.25">
      <c r="B27" t="s">
        <v>191</v>
      </c>
      <c r="D27" s="12">
        <f>+E9</f>
        <v>92.03</v>
      </c>
    </row>
    <row r="28" spans="1:10" x14ac:dyDescent="0.25">
      <c r="D28" s="12"/>
    </row>
    <row r="29" spans="1:10" x14ac:dyDescent="0.25">
      <c r="B29" t="s">
        <v>192</v>
      </c>
      <c r="D29" s="12">
        <f>MAX(H14:H19)</f>
        <v>334.37</v>
      </c>
    </row>
    <row r="30" spans="1:10" x14ac:dyDescent="0.25">
      <c r="B30" t="s">
        <v>193</v>
      </c>
      <c r="D30" s="12">
        <f>MIN(H14:H19)</f>
        <v>74.3</v>
      </c>
    </row>
    <row r="31" spans="1:10" x14ac:dyDescent="0.25">
      <c r="B31" t="s">
        <v>194</v>
      </c>
      <c r="D31" s="12">
        <f>AVERAGE(H14:H19)</f>
        <v>182.84666666666666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H14"/>
  <sheetViews>
    <sheetView showGridLines="0" workbookViewId="0">
      <selection activeCell="E10" sqref="E10"/>
    </sheetView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</cols>
  <sheetData>
    <row r="2" spans="2:8" x14ac:dyDescent="0.25">
      <c r="B2" t="s">
        <v>70</v>
      </c>
      <c r="C2" s="18" t="str">
        <f>+Summary!C5</f>
        <v xml:space="preserve">California </v>
      </c>
    </row>
    <row r="3" spans="2:8" x14ac:dyDescent="0.25">
      <c r="B3" t="s">
        <v>78</v>
      </c>
      <c r="C3" s="18">
        <f>+Summary!C6</f>
        <v>5</v>
      </c>
    </row>
    <row r="4" spans="2:8" x14ac:dyDescent="0.25">
      <c r="B4" t="s">
        <v>251</v>
      </c>
      <c r="C4" t="str">
        <f>+Summary!C7</f>
        <v xml:space="preserve">California </v>
      </c>
    </row>
    <row r="5" spans="2:8" x14ac:dyDescent="0.25">
      <c r="B5" t="s">
        <v>66</v>
      </c>
      <c r="C5" s="17">
        <f>+Summary!C8</f>
        <v>1.2602</v>
      </c>
    </row>
    <row r="8" spans="2:8" x14ac:dyDescent="0.25">
      <c r="B8" s="21" t="s">
        <v>0</v>
      </c>
      <c r="C8" s="22"/>
      <c r="D8" s="23"/>
      <c r="E8" s="7" t="s">
        <v>172</v>
      </c>
    </row>
    <row r="9" spans="2:8" x14ac:dyDescent="0.25">
      <c r="B9" s="21" t="s">
        <v>1</v>
      </c>
      <c r="C9" s="22"/>
      <c r="D9" s="23"/>
      <c r="E9" s="11">
        <f>+'Federal Register Tables'!H10</f>
        <v>116.46</v>
      </c>
    </row>
    <row r="11" spans="2:8" x14ac:dyDescent="0.25">
      <c r="E11" s="9">
        <f>+'Federal Register Tables'!C76</f>
        <v>0.72</v>
      </c>
      <c r="F11" s="20">
        <f>+C5</f>
        <v>1.2602</v>
      </c>
      <c r="G11" s="9">
        <f>1-E11</f>
        <v>0.28000000000000003</v>
      </c>
    </row>
    <row r="12" spans="2:8" x14ac:dyDescent="0.25">
      <c r="D12" s="4" t="s">
        <v>172</v>
      </c>
      <c r="E12" s="4" t="s">
        <v>172</v>
      </c>
      <c r="F12" s="4" t="s">
        <v>66</v>
      </c>
      <c r="G12" s="4" t="s">
        <v>172</v>
      </c>
      <c r="H12" s="4" t="s">
        <v>172</v>
      </c>
    </row>
    <row r="13" spans="2:8" x14ac:dyDescent="0.25">
      <c r="D13" s="5" t="s">
        <v>11</v>
      </c>
      <c r="E13" s="5" t="s">
        <v>65</v>
      </c>
      <c r="F13" s="5" t="s">
        <v>79</v>
      </c>
      <c r="G13" s="5" t="s">
        <v>67</v>
      </c>
      <c r="H13" s="5" t="s">
        <v>63</v>
      </c>
    </row>
    <row r="14" spans="2:8" x14ac:dyDescent="0.25">
      <c r="D14" s="8">
        <f>+E9</f>
        <v>116.46</v>
      </c>
      <c r="E14" s="8">
        <f>ROUND(D14*$E$11,2)</f>
        <v>83.85</v>
      </c>
      <c r="F14" s="8">
        <f>ROUND(E14*$F$11,2)</f>
        <v>105.67</v>
      </c>
      <c r="G14" s="8">
        <f>ROUND(D14*$G$11,2)</f>
        <v>32.61</v>
      </c>
      <c r="H14" s="8">
        <f>+F14+G14</f>
        <v>138.28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Y82"/>
  <sheetViews>
    <sheetView showGridLines="0" topLeftCell="A4" workbookViewId="0">
      <selection activeCell="L10" sqref="L10"/>
    </sheetView>
  </sheetViews>
  <sheetFormatPr defaultRowHeight="15" x14ac:dyDescent="0.25"/>
  <cols>
    <col min="1" max="1" width="1.7109375" customWidth="1"/>
    <col min="2" max="2" width="19.42578125" customWidth="1"/>
    <col min="3" max="3" width="15" customWidth="1"/>
    <col min="4" max="4" width="16.85546875" customWidth="1"/>
    <col min="5" max="5" width="15" customWidth="1"/>
    <col min="6" max="6" width="16.85546875" customWidth="1"/>
    <col min="7" max="7" width="8.7109375" customWidth="1"/>
    <col min="8" max="8" width="13.7109375" customWidth="1"/>
    <col min="14" max="14" width="13.85546875" bestFit="1" customWidth="1"/>
    <col min="15" max="15" width="9.28515625" bestFit="1" customWidth="1"/>
    <col min="24" max="24" width="9.5703125" bestFit="1" customWidth="1"/>
    <col min="25" max="25" width="7.7109375" bestFit="1" customWidth="1"/>
  </cols>
  <sheetData>
    <row r="1" spans="2:11" x14ac:dyDescent="0.25">
      <c r="D1" s="26" t="s">
        <v>290</v>
      </c>
      <c r="E1" s="26" t="s">
        <v>287</v>
      </c>
      <c r="J1" s="26" t="s">
        <v>280</v>
      </c>
      <c r="K1" s="26" t="s">
        <v>278</v>
      </c>
    </row>
    <row r="2" spans="2:11" x14ac:dyDescent="0.25">
      <c r="B2" t="s">
        <v>281</v>
      </c>
      <c r="D2" s="9">
        <v>0.03</v>
      </c>
      <c r="E2" s="9">
        <v>0.03</v>
      </c>
      <c r="F2" s="9"/>
      <c r="J2" s="9">
        <v>3.9E-2</v>
      </c>
      <c r="K2" s="9">
        <v>2.7E-2</v>
      </c>
    </row>
    <row r="3" spans="2:11" x14ac:dyDescent="0.25">
      <c r="B3" t="s">
        <v>196</v>
      </c>
      <c r="D3" s="62">
        <v>1.7000000000000001E-2</v>
      </c>
      <c r="E3" s="62">
        <v>3.5999999999999997E-2</v>
      </c>
      <c r="F3" s="63"/>
      <c r="J3" s="62">
        <v>1.4999999999999999E-2</v>
      </c>
      <c r="K3" s="62">
        <v>-8.0000000000000002E-3</v>
      </c>
    </row>
    <row r="4" spans="2:11" x14ac:dyDescent="0.25">
      <c r="B4" t="s">
        <v>197</v>
      </c>
      <c r="D4" s="9">
        <v>-5.0000000000000001E-3</v>
      </c>
      <c r="E4" s="9">
        <v>-2E-3</v>
      </c>
      <c r="F4" s="9"/>
      <c r="J4" s="9">
        <v>-3.0000000000000001E-3</v>
      </c>
      <c r="K4" s="9">
        <v>-7.0000000000000001E-3</v>
      </c>
    </row>
    <row r="5" spans="2:11" x14ac:dyDescent="0.25">
      <c r="B5" t="s">
        <v>198</v>
      </c>
      <c r="D5" s="9">
        <v>4.2000000000000003E-2</v>
      </c>
      <c r="E5" s="9">
        <v>6.4000000000000001E-2</v>
      </c>
      <c r="F5" s="9"/>
      <c r="H5" s="9"/>
      <c r="J5" s="9">
        <f>+J2+J3+J4</f>
        <v>5.0999999999999997E-2</v>
      </c>
      <c r="K5" s="9">
        <f>+K2+K3+K4</f>
        <v>1.2E-2</v>
      </c>
    </row>
    <row r="6" spans="2:11" x14ac:dyDescent="0.25">
      <c r="B6" t="s">
        <v>199</v>
      </c>
      <c r="D6" s="17">
        <v>1.0004999999999999</v>
      </c>
      <c r="E6" s="17">
        <v>0.99970000000000003</v>
      </c>
      <c r="F6" s="17"/>
      <c r="J6" s="17">
        <v>1.0004999999999999</v>
      </c>
      <c r="K6" s="17">
        <v>1.0005999999999999</v>
      </c>
    </row>
    <row r="8" spans="2:11" x14ac:dyDescent="0.25">
      <c r="B8" s="1" t="s">
        <v>292</v>
      </c>
    </row>
    <row r="9" spans="2:11" x14ac:dyDescent="0.25">
      <c r="B9" s="7" t="s">
        <v>0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63</v>
      </c>
    </row>
    <row r="10" spans="2:11" x14ac:dyDescent="0.25">
      <c r="B10" s="7" t="s">
        <v>1</v>
      </c>
      <c r="C10" s="11">
        <v>83.5</v>
      </c>
      <c r="D10" s="11">
        <v>76.69</v>
      </c>
      <c r="E10" s="11">
        <v>34.46</v>
      </c>
      <c r="F10" s="11">
        <v>121.99</v>
      </c>
      <c r="G10" s="11">
        <v>92.03</v>
      </c>
      <c r="H10" s="11">
        <v>116.46</v>
      </c>
      <c r="I10" s="11">
        <f>SUM(C10:H10)</f>
        <v>525.13</v>
      </c>
    </row>
    <row r="11" spans="2:11" x14ac:dyDescent="0.25">
      <c r="B11" s="3"/>
      <c r="C11" s="3"/>
      <c r="D11" s="3"/>
      <c r="E11" s="3"/>
      <c r="F11" s="3"/>
      <c r="G11" s="3"/>
      <c r="H11" s="3"/>
      <c r="I11" s="3"/>
    </row>
    <row r="12" spans="2:11" x14ac:dyDescent="0.25">
      <c r="B12" s="1" t="s">
        <v>291</v>
      </c>
      <c r="C12" s="3"/>
      <c r="D12" s="3"/>
      <c r="E12" s="3"/>
      <c r="F12" s="3"/>
      <c r="G12" s="3"/>
      <c r="H12" s="3"/>
      <c r="I12" s="3"/>
    </row>
    <row r="13" spans="2:11" x14ac:dyDescent="0.25">
      <c r="B13" s="7" t="s">
        <v>0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63</v>
      </c>
    </row>
    <row r="14" spans="2:11" x14ac:dyDescent="0.25">
      <c r="B14" s="7" t="s">
        <v>1</v>
      </c>
      <c r="C14" s="11">
        <v>73.25</v>
      </c>
      <c r="D14" s="11">
        <v>68.180000000000007</v>
      </c>
      <c r="E14" s="11">
        <v>27.35</v>
      </c>
      <c r="F14" s="11">
        <v>127.68</v>
      </c>
      <c r="G14" s="11">
        <v>96.33</v>
      </c>
      <c r="H14" s="11">
        <v>114.34</v>
      </c>
      <c r="I14" s="11">
        <f>SUM(C14:H14)</f>
        <v>507.13</v>
      </c>
    </row>
    <row r="16" spans="2:11" x14ac:dyDescent="0.25">
      <c r="B16" s="1" t="s">
        <v>285</v>
      </c>
    </row>
    <row r="17" spans="2:25" x14ac:dyDescent="0.25">
      <c r="B17" s="4" t="s">
        <v>8</v>
      </c>
      <c r="C17" s="4" t="s">
        <v>2</v>
      </c>
      <c r="D17" s="4" t="s">
        <v>2</v>
      </c>
      <c r="E17" s="4" t="s">
        <v>3</v>
      </c>
      <c r="F17" s="4" t="s">
        <v>3</v>
      </c>
      <c r="G17" s="4" t="s">
        <v>4</v>
      </c>
      <c r="H17" s="4" t="s">
        <v>4</v>
      </c>
      <c r="I17" s="4" t="s">
        <v>5</v>
      </c>
      <c r="J17" s="4" t="s">
        <v>5</v>
      </c>
      <c r="K17" s="4" t="s">
        <v>5</v>
      </c>
      <c r="L17" s="4" t="s">
        <v>6</v>
      </c>
      <c r="M17" s="4" t="s">
        <v>6</v>
      </c>
      <c r="N17" s="4" t="s">
        <v>7</v>
      </c>
      <c r="O17" s="4" t="s">
        <v>69</v>
      </c>
    </row>
    <row r="18" spans="2:25" x14ac:dyDescent="0.25">
      <c r="B18" s="5" t="s">
        <v>9</v>
      </c>
      <c r="C18" s="5" t="s">
        <v>10</v>
      </c>
      <c r="D18" s="5" t="s">
        <v>11</v>
      </c>
      <c r="E18" s="5" t="s">
        <v>10</v>
      </c>
      <c r="F18" s="5" t="s">
        <v>11</v>
      </c>
      <c r="G18" s="5" t="s">
        <v>10</v>
      </c>
      <c r="H18" s="5" t="s">
        <v>11</v>
      </c>
      <c r="I18" s="5" t="s">
        <v>12</v>
      </c>
      <c r="J18" s="5" t="s">
        <v>10</v>
      </c>
      <c r="K18" s="5" t="s">
        <v>11</v>
      </c>
      <c r="L18" s="5" t="s">
        <v>10</v>
      </c>
      <c r="M18" s="5" t="s">
        <v>11</v>
      </c>
      <c r="N18" s="5" t="s">
        <v>11</v>
      </c>
      <c r="O18" s="5" t="s">
        <v>68</v>
      </c>
      <c r="R18" s="6" t="s">
        <v>275</v>
      </c>
    </row>
    <row r="19" spans="2:25" x14ac:dyDescent="0.25">
      <c r="B19" s="7" t="s">
        <v>13</v>
      </c>
      <c r="C19" s="8">
        <v>1.45</v>
      </c>
      <c r="D19" s="8">
        <v>121.08</v>
      </c>
      <c r="E19" s="8">
        <v>1.41</v>
      </c>
      <c r="F19" s="8">
        <v>108.13</v>
      </c>
      <c r="G19" s="8">
        <v>0.64</v>
      </c>
      <c r="H19" s="8">
        <v>22.05</v>
      </c>
      <c r="I19" s="2" t="s">
        <v>38</v>
      </c>
      <c r="J19" s="8">
        <v>3.84</v>
      </c>
      <c r="K19" s="8">
        <v>468.44</v>
      </c>
      <c r="L19" s="8">
        <v>3.06</v>
      </c>
      <c r="M19" s="8">
        <v>281.61</v>
      </c>
      <c r="N19" s="8">
        <v>116.46</v>
      </c>
      <c r="O19" s="8">
        <f t="shared" ref="O19:O43" si="0">+D19+F19+H19+K19+M19+N19</f>
        <v>1117.77</v>
      </c>
      <c r="P19" s="25"/>
      <c r="R19" s="61">
        <f>+C19*$C$10</f>
        <v>121.075</v>
      </c>
      <c r="S19" s="61">
        <f>+E19*$D$10</f>
        <v>108.13289999999999</v>
      </c>
      <c r="T19" s="61">
        <f>+G19*$E$10</f>
        <v>22.054400000000001</v>
      </c>
      <c r="U19" s="61">
        <f>+J19*$F$10</f>
        <v>468.44159999999994</v>
      </c>
      <c r="V19" s="61">
        <f>+L19*$G$10</f>
        <v>281.61180000000002</v>
      </c>
      <c r="W19" s="61">
        <f>+$H$10</f>
        <v>116.46</v>
      </c>
      <c r="X19" s="61">
        <f>SUM(R19:W19)</f>
        <v>1117.7756999999999</v>
      </c>
      <c r="Y19" s="61">
        <f>+X19-O19</f>
        <v>5.699999999933425E-3</v>
      </c>
    </row>
    <row r="20" spans="2:25" x14ac:dyDescent="0.25">
      <c r="B20" s="7" t="s">
        <v>14</v>
      </c>
      <c r="C20" s="8">
        <v>1.61</v>
      </c>
      <c r="D20" s="8">
        <v>134.44</v>
      </c>
      <c r="E20" s="8">
        <v>1.54</v>
      </c>
      <c r="F20" s="8">
        <v>118.1</v>
      </c>
      <c r="G20" s="8">
        <v>1.72</v>
      </c>
      <c r="H20" s="8">
        <v>59.27</v>
      </c>
      <c r="I20" s="2" t="s">
        <v>39</v>
      </c>
      <c r="J20" s="8">
        <v>2.9</v>
      </c>
      <c r="K20" s="8">
        <v>353.77</v>
      </c>
      <c r="L20" s="8">
        <v>2.39</v>
      </c>
      <c r="M20" s="8">
        <v>219.95</v>
      </c>
      <c r="N20" s="8">
        <v>116.46</v>
      </c>
      <c r="O20" s="8">
        <f t="shared" si="0"/>
        <v>1001.99</v>
      </c>
      <c r="P20" s="12"/>
      <c r="R20" s="61">
        <f t="shared" ref="R20:R34" si="1">+C20*$C$10</f>
        <v>134.435</v>
      </c>
      <c r="S20" s="61">
        <f t="shared" ref="S20:S34" si="2">+E20*$D$10</f>
        <v>118.1026</v>
      </c>
      <c r="T20" s="61">
        <f t="shared" ref="T20:T34" si="3">+G20*$E$10</f>
        <v>59.2712</v>
      </c>
      <c r="U20" s="61">
        <f t="shared" ref="U20:U43" si="4">+J20*$F$10</f>
        <v>353.77099999999996</v>
      </c>
      <c r="V20" s="61">
        <f t="shared" ref="V20:V43" si="5">+L20*$G$10</f>
        <v>219.95170000000002</v>
      </c>
      <c r="W20" s="61">
        <f t="shared" ref="W20:W43" si="6">+$H$10</f>
        <v>116.46</v>
      </c>
      <c r="X20" s="61">
        <f t="shared" ref="X20:X43" si="7">SUM(R20:W20)</f>
        <v>1001.9915000000001</v>
      </c>
      <c r="Y20" s="61">
        <f t="shared" ref="Y20:Y43" si="8">+X20-O20</f>
        <v>1.5000000000782165E-3</v>
      </c>
    </row>
    <row r="21" spans="2:25" x14ac:dyDescent="0.25">
      <c r="B21" s="7" t="s">
        <v>15</v>
      </c>
      <c r="C21" s="8">
        <v>1.78</v>
      </c>
      <c r="D21" s="8">
        <v>148.63</v>
      </c>
      <c r="E21" s="8">
        <v>1.6</v>
      </c>
      <c r="F21" s="8">
        <v>122.7</v>
      </c>
      <c r="G21" s="8">
        <v>2.52</v>
      </c>
      <c r="H21" s="8">
        <v>86.84</v>
      </c>
      <c r="I21" s="2" t="s">
        <v>40</v>
      </c>
      <c r="J21" s="8">
        <v>2.77</v>
      </c>
      <c r="K21" s="8">
        <v>337.91</v>
      </c>
      <c r="L21" s="8">
        <v>1.74</v>
      </c>
      <c r="M21" s="8">
        <v>160.13</v>
      </c>
      <c r="N21" s="8">
        <v>116.46</v>
      </c>
      <c r="O21" s="8">
        <f t="shared" si="0"/>
        <v>972.67</v>
      </c>
      <c r="P21" s="12"/>
      <c r="R21" s="61">
        <f t="shared" si="1"/>
        <v>148.63</v>
      </c>
      <c r="S21" s="61">
        <f t="shared" si="2"/>
        <v>122.70400000000001</v>
      </c>
      <c r="T21" s="61">
        <f t="shared" si="3"/>
        <v>86.839200000000005</v>
      </c>
      <c r="U21" s="61">
        <f t="shared" si="4"/>
        <v>337.91230000000002</v>
      </c>
      <c r="V21" s="61">
        <f t="shared" si="5"/>
        <v>160.13220000000001</v>
      </c>
      <c r="W21" s="61">
        <f t="shared" si="6"/>
        <v>116.46</v>
      </c>
      <c r="X21" s="61">
        <f t="shared" si="7"/>
        <v>972.67770000000007</v>
      </c>
      <c r="Y21" s="61">
        <f t="shared" si="8"/>
        <v>7.7000000001135049E-3</v>
      </c>
    </row>
    <row r="22" spans="2:25" x14ac:dyDescent="0.25">
      <c r="B22" s="7" t="s">
        <v>16</v>
      </c>
      <c r="C22" s="8">
        <v>1.81</v>
      </c>
      <c r="D22" s="8">
        <v>151.13999999999999</v>
      </c>
      <c r="E22" s="8">
        <v>1.45</v>
      </c>
      <c r="F22" s="8">
        <v>111.2</v>
      </c>
      <c r="G22" s="8">
        <v>1.38</v>
      </c>
      <c r="H22" s="8">
        <v>47.55</v>
      </c>
      <c r="I22" s="2" t="s">
        <v>41</v>
      </c>
      <c r="J22" s="8">
        <v>2.27</v>
      </c>
      <c r="K22" s="8">
        <v>276.92</v>
      </c>
      <c r="L22" s="8">
        <v>1.26</v>
      </c>
      <c r="M22" s="8">
        <v>115.96</v>
      </c>
      <c r="N22" s="8">
        <v>116.46</v>
      </c>
      <c r="O22" s="8">
        <f t="shared" si="0"/>
        <v>819.23</v>
      </c>
      <c r="P22" s="12"/>
      <c r="R22" s="61">
        <f t="shared" si="1"/>
        <v>151.13499999999999</v>
      </c>
      <c r="S22" s="61">
        <f t="shared" si="2"/>
        <v>111.20049999999999</v>
      </c>
      <c r="T22" s="61">
        <f t="shared" si="3"/>
        <v>47.5548</v>
      </c>
      <c r="U22" s="61">
        <f t="shared" si="4"/>
        <v>276.91730000000001</v>
      </c>
      <c r="V22" s="61">
        <f t="shared" si="5"/>
        <v>115.95780000000001</v>
      </c>
      <c r="W22" s="61">
        <f t="shared" si="6"/>
        <v>116.46</v>
      </c>
      <c r="X22" s="61">
        <f t="shared" si="7"/>
        <v>819.22540000000004</v>
      </c>
      <c r="Y22" s="61">
        <f t="shared" si="8"/>
        <v>-4.5999999999821739E-3</v>
      </c>
    </row>
    <row r="23" spans="2:25" x14ac:dyDescent="0.25">
      <c r="B23" s="7" t="s">
        <v>17</v>
      </c>
      <c r="C23" s="8">
        <v>1.34</v>
      </c>
      <c r="D23" s="8">
        <v>111.89</v>
      </c>
      <c r="E23" s="8">
        <v>1.33</v>
      </c>
      <c r="F23" s="8">
        <v>102</v>
      </c>
      <c r="G23" s="8">
        <v>2.21</v>
      </c>
      <c r="H23" s="8">
        <v>76.16</v>
      </c>
      <c r="I23" s="2" t="s">
        <v>42</v>
      </c>
      <c r="J23" s="8">
        <v>1.88</v>
      </c>
      <c r="K23" s="8">
        <v>229.34</v>
      </c>
      <c r="L23" s="8">
        <v>0.91</v>
      </c>
      <c r="M23" s="8">
        <v>83.75</v>
      </c>
      <c r="N23" s="8">
        <v>116.46</v>
      </c>
      <c r="O23" s="8">
        <f t="shared" si="0"/>
        <v>719.6</v>
      </c>
      <c r="P23" s="12"/>
      <c r="R23" s="61">
        <f t="shared" si="1"/>
        <v>111.89</v>
      </c>
      <c r="S23" s="61">
        <f t="shared" si="2"/>
        <v>101.99770000000001</v>
      </c>
      <c r="T23" s="61">
        <f t="shared" si="3"/>
        <v>76.156599999999997</v>
      </c>
      <c r="U23" s="61">
        <f t="shared" si="4"/>
        <v>229.34119999999999</v>
      </c>
      <c r="V23" s="61">
        <f t="shared" si="5"/>
        <v>83.74730000000001</v>
      </c>
      <c r="W23" s="61">
        <f t="shared" si="6"/>
        <v>116.46</v>
      </c>
      <c r="X23" s="61">
        <f t="shared" si="7"/>
        <v>719.59280000000001</v>
      </c>
      <c r="Y23" s="61">
        <f t="shared" si="8"/>
        <v>-7.2000000000116415E-3</v>
      </c>
    </row>
    <row r="24" spans="2:25" x14ac:dyDescent="0.25">
      <c r="B24" s="7" t="s">
        <v>18</v>
      </c>
      <c r="C24" s="8">
        <v>1.52</v>
      </c>
      <c r="D24" s="8">
        <v>126.92</v>
      </c>
      <c r="E24" s="8">
        <v>1.51</v>
      </c>
      <c r="F24" s="8">
        <v>115.8</v>
      </c>
      <c r="G24" s="8">
        <v>2.82</v>
      </c>
      <c r="H24" s="8">
        <v>97.18</v>
      </c>
      <c r="I24" s="2" t="s">
        <v>43</v>
      </c>
      <c r="J24" s="8">
        <v>2.12</v>
      </c>
      <c r="K24" s="8">
        <v>258.62</v>
      </c>
      <c r="L24" s="8">
        <v>0.68</v>
      </c>
      <c r="M24" s="8">
        <v>62.58</v>
      </c>
      <c r="N24" s="8">
        <v>116.46</v>
      </c>
      <c r="O24" s="8">
        <f t="shared" si="0"/>
        <v>777.56000000000006</v>
      </c>
      <c r="P24" s="12"/>
      <c r="R24" s="61">
        <f t="shared" si="1"/>
        <v>126.92</v>
      </c>
      <c r="S24" s="61">
        <f t="shared" si="2"/>
        <v>115.8019</v>
      </c>
      <c r="T24" s="61">
        <f t="shared" si="3"/>
        <v>97.177199999999999</v>
      </c>
      <c r="U24" s="61">
        <f t="shared" si="4"/>
        <v>258.61880000000002</v>
      </c>
      <c r="V24" s="61">
        <f t="shared" si="5"/>
        <v>62.580400000000004</v>
      </c>
      <c r="W24" s="61">
        <f t="shared" si="6"/>
        <v>116.46</v>
      </c>
      <c r="X24" s="61">
        <f t="shared" si="7"/>
        <v>777.55830000000014</v>
      </c>
      <c r="Y24" s="61">
        <f t="shared" si="8"/>
        <v>-1.6999999999143256E-3</v>
      </c>
    </row>
    <row r="25" spans="2:25" x14ac:dyDescent="0.25">
      <c r="B25" s="7" t="s">
        <v>27</v>
      </c>
      <c r="C25" s="8">
        <v>1.58</v>
      </c>
      <c r="D25" s="8">
        <v>131.93</v>
      </c>
      <c r="E25" s="8">
        <v>1.55</v>
      </c>
      <c r="F25" s="8">
        <v>118.87</v>
      </c>
      <c r="G25" s="8">
        <v>1.93</v>
      </c>
      <c r="H25" s="8">
        <v>66.510000000000005</v>
      </c>
      <c r="I25" s="2" t="s">
        <v>44</v>
      </c>
      <c r="J25" s="8">
        <v>1.76</v>
      </c>
      <c r="K25" s="8">
        <v>214.7</v>
      </c>
      <c r="L25" s="8"/>
      <c r="M25" s="8"/>
      <c r="N25" s="8">
        <v>116.46</v>
      </c>
      <c r="O25" s="8">
        <f t="shared" si="0"/>
        <v>648.47</v>
      </c>
      <c r="P25" s="12"/>
      <c r="R25" s="61">
        <f t="shared" si="1"/>
        <v>131.93</v>
      </c>
      <c r="S25" s="61">
        <f t="shared" si="2"/>
        <v>118.8695</v>
      </c>
      <c r="T25" s="61">
        <f t="shared" si="3"/>
        <v>66.507800000000003</v>
      </c>
      <c r="U25" s="61">
        <f t="shared" si="4"/>
        <v>214.70239999999998</v>
      </c>
      <c r="V25" s="61">
        <f t="shared" si="5"/>
        <v>0</v>
      </c>
      <c r="W25" s="61">
        <f t="shared" si="6"/>
        <v>116.46</v>
      </c>
      <c r="X25" s="61">
        <f t="shared" si="7"/>
        <v>648.4697000000001</v>
      </c>
      <c r="Y25" s="61">
        <f t="shared" si="8"/>
        <v>-2.9999999992469384E-4</v>
      </c>
    </row>
    <row r="26" spans="2:25" x14ac:dyDescent="0.25">
      <c r="B26" s="7" t="s">
        <v>19</v>
      </c>
      <c r="C26" s="8">
        <v>1.1000000000000001</v>
      </c>
      <c r="D26" s="8">
        <v>91.85</v>
      </c>
      <c r="E26" s="8">
        <v>1.0900000000000001</v>
      </c>
      <c r="F26" s="8">
        <v>83.59</v>
      </c>
      <c r="G26" s="8">
        <v>2.7</v>
      </c>
      <c r="H26" s="8">
        <v>93.04</v>
      </c>
      <c r="I26" s="2" t="s">
        <v>45</v>
      </c>
      <c r="J26" s="8">
        <v>1.97</v>
      </c>
      <c r="K26" s="8">
        <v>240.32</v>
      </c>
      <c r="L26" s="8"/>
      <c r="M26" s="8"/>
      <c r="N26" s="8">
        <v>116.46</v>
      </c>
      <c r="O26" s="8">
        <f t="shared" si="0"/>
        <v>625.26</v>
      </c>
      <c r="P26" s="12"/>
      <c r="R26" s="61">
        <f t="shared" si="1"/>
        <v>91.850000000000009</v>
      </c>
      <c r="S26" s="61">
        <f t="shared" si="2"/>
        <v>83.592100000000002</v>
      </c>
      <c r="T26" s="61">
        <f t="shared" si="3"/>
        <v>93.042000000000002</v>
      </c>
      <c r="U26" s="61">
        <f t="shared" si="4"/>
        <v>240.32029999999997</v>
      </c>
      <c r="V26" s="61">
        <f t="shared" si="5"/>
        <v>0</v>
      </c>
      <c r="W26" s="61">
        <f t="shared" si="6"/>
        <v>116.46</v>
      </c>
      <c r="X26" s="61">
        <f t="shared" si="7"/>
        <v>625.26440000000002</v>
      </c>
      <c r="Y26" s="61">
        <f t="shared" si="8"/>
        <v>4.400000000032378E-3</v>
      </c>
    </row>
    <row r="27" spans="2:25" x14ac:dyDescent="0.25">
      <c r="B27" s="7" t="s">
        <v>20</v>
      </c>
      <c r="C27" s="8">
        <v>1.07</v>
      </c>
      <c r="D27" s="8">
        <v>89.35</v>
      </c>
      <c r="E27" s="8">
        <v>1.1200000000000001</v>
      </c>
      <c r="F27" s="8">
        <v>85.89</v>
      </c>
      <c r="G27" s="8">
        <v>3.34</v>
      </c>
      <c r="H27" s="8">
        <v>115.1</v>
      </c>
      <c r="I27" s="2" t="s">
        <v>46</v>
      </c>
      <c r="J27" s="8">
        <v>1.64</v>
      </c>
      <c r="K27" s="8">
        <v>200.06</v>
      </c>
      <c r="L27" s="8"/>
      <c r="M27" s="8"/>
      <c r="N27" s="8">
        <v>116.46</v>
      </c>
      <c r="O27" s="8">
        <f t="shared" si="0"/>
        <v>606.86</v>
      </c>
      <c r="P27" s="12"/>
      <c r="R27" s="61">
        <f t="shared" si="1"/>
        <v>89.344999999999999</v>
      </c>
      <c r="S27" s="61">
        <f t="shared" si="2"/>
        <v>85.892800000000008</v>
      </c>
      <c r="T27" s="61">
        <f t="shared" si="3"/>
        <v>115.0964</v>
      </c>
      <c r="U27" s="61">
        <f t="shared" si="4"/>
        <v>200.06359999999998</v>
      </c>
      <c r="V27" s="61">
        <f t="shared" si="5"/>
        <v>0</v>
      </c>
      <c r="W27" s="61">
        <f t="shared" si="6"/>
        <v>116.46</v>
      </c>
      <c r="X27" s="61">
        <f t="shared" si="7"/>
        <v>606.8578</v>
      </c>
      <c r="Y27" s="61">
        <f t="shared" si="8"/>
        <v>-2.200000000016189E-3</v>
      </c>
    </row>
    <row r="28" spans="2:25" x14ac:dyDescent="0.25">
      <c r="B28" s="7" t="s">
        <v>21</v>
      </c>
      <c r="C28" s="8">
        <v>1.34</v>
      </c>
      <c r="D28" s="8">
        <v>111.89</v>
      </c>
      <c r="E28" s="8">
        <v>1.37</v>
      </c>
      <c r="F28" s="8">
        <v>105.07</v>
      </c>
      <c r="G28" s="8">
        <v>2.83</v>
      </c>
      <c r="H28" s="8">
        <v>97.52</v>
      </c>
      <c r="I28" s="2" t="s">
        <v>47</v>
      </c>
      <c r="J28" s="8">
        <v>1.63</v>
      </c>
      <c r="K28" s="8">
        <v>198.84</v>
      </c>
      <c r="L28" s="8"/>
      <c r="M28" s="8"/>
      <c r="N28" s="8">
        <v>116.46</v>
      </c>
      <c r="O28" s="8">
        <f t="shared" si="0"/>
        <v>629.78</v>
      </c>
      <c r="P28" s="12"/>
      <c r="R28" s="61">
        <f t="shared" si="1"/>
        <v>111.89</v>
      </c>
      <c r="S28" s="61">
        <f t="shared" si="2"/>
        <v>105.06530000000001</v>
      </c>
      <c r="T28" s="61">
        <f t="shared" si="3"/>
        <v>97.521799999999999</v>
      </c>
      <c r="U28" s="61">
        <f t="shared" si="4"/>
        <v>198.84369999999998</v>
      </c>
      <c r="V28" s="61">
        <f t="shared" si="5"/>
        <v>0</v>
      </c>
      <c r="W28" s="61">
        <f t="shared" si="6"/>
        <v>116.46</v>
      </c>
      <c r="X28" s="61">
        <f t="shared" si="7"/>
        <v>629.7808</v>
      </c>
      <c r="Y28" s="61">
        <f t="shared" si="8"/>
        <v>8.0000000002655725E-4</v>
      </c>
    </row>
    <row r="29" spans="2:25" x14ac:dyDescent="0.25">
      <c r="B29" s="7" t="s">
        <v>22</v>
      </c>
      <c r="C29" s="8">
        <v>1.44</v>
      </c>
      <c r="D29" s="8">
        <v>120.24</v>
      </c>
      <c r="E29" s="8">
        <v>1.46</v>
      </c>
      <c r="F29" s="8">
        <v>111.97</v>
      </c>
      <c r="G29" s="8">
        <v>3.5</v>
      </c>
      <c r="H29" s="8">
        <v>120.61</v>
      </c>
      <c r="I29" s="2" t="s">
        <v>48</v>
      </c>
      <c r="J29" s="8">
        <v>1.35</v>
      </c>
      <c r="K29" s="8">
        <v>164.69</v>
      </c>
      <c r="L29" s="8"/>
      <c r="M29" s="8"/>
      <c r="N29" s="8">
        <v>116.46</v>
      </c>
      <c r="O29" s="8">
        <f t="shared" si="0"/>
        <v>633.97</v>
      </c>
      <c r="P29" s="12"/>
      <c r="R29" s="61">
        <f t="shared" si="1"/>
        <v>120.24</v>
      </c>
      <c r="S29" s="61">
        <f t="shared" si="2"/>
        <v>111.9674</v>
      </c>
      <c r="T29" s="61">
        <f t="shared" si="3"/>
        <v>120.61</v>
      </c>
      <c r="U29" s="61">
        <f t="shared" si="4"/>
        <v>164.6865</v>
      </c>
      <c r="V29" s="61">
        <f t="shared" si="5"/>
        <v>0</v>
      </c>
      <c r="W29" s="61">
        <f t="shared" si="6"/>
        <v>116.46</v>
      </c>
      <c r="X29" s="61">
        <f t="shared" si="7"/>
        <v>633.96390000000008</v>
      </c>
      <c r="Y29" s="61">
        <f t="shared" si="8"/>
        <v>-6.0999999999467036E-3</v>
      </c>
    </row>
    <row r="30" spans="2:25" x14ac:dyDescent="0.25">
      <c r="B30" s="7" t="s">
        <v>23</v>
      </c>
      <c r="C30" s="8">
        <v>1.03</v>
      </c>
      <c r="D30" s="8">
        <v>86.01</v>
      </c>
      <c r="E30" s="8">
        <v>1.05</v>
      </c>
      <c r="F30" s="8">
        <v>80.52</v>
      </c>
      <c r="G30" s="8">
        <v>3.98</v>
      </c>
      <c r="H30" s="8">
        <v>137.15</v>
      </c>
      <c r="I30" s="2" t="s">
        <v>49</v>
      </c>
      <c r="J30" s="8">
        <v>1.77</v>
      </c>
      <c r="K30" s="8">
        <v>215.92</v>
      </c>
      <c r="L30" s="8"/>
      <c r="M30" s="8"/>
      <c r="N30" s="8">
        <v>116.46</v>
      </c>
      <c r="O30" s="8">
        <f t="shared" si="0"/>
        <v>636.06000000000006</v>
      </c>
      <c r="P30" s="12"/>
      <c r="R30" s="61">
        <f t="shared" si="1"/>
        <v>86.004999999999995</v>
      </c>
      <c r="S30" s="61">
        <f t="shared" si="2"/>
        <v>80.524500000000003</v>
      </c>
      <c r="T30" s="61">
        <f t="shared" si="3"/>
        <v>137.1508</v>
      </c>
      <c r="U30" s="61">
        <f t="shared" si="4"/>
        <v>215.92230000000001</v>
      </c>
      <c r="V30" s="61">
        <f t="shared" si="5"/>
        <v>0</v>
      </c>
      <c r="W30" s="61">
        <f t="shared" si="6"/>
        <v>116.46</v>
      </c>
      <c r="X30" s="61">
        <f t="shared" si="7"/>
        <v>636.06259999999997</v>
      </c>
      <c r="Y30" s="61">
        <f t="shared" si="8"/>
        <v>2.5999999999157808E-3</v>
      </c>
    </row>
    <row r="31" spans="2:25" x14ac:dyDescent="0.25">
      <c r="B31" s="7" t="s">
        <v>24</v>
      </c>
      <c r="C31" s="8">
        <v>1.2</v>
      </c>
      <c r="D31" s="8">
        <v>100.2</v>
      </c>
      <c r="E31" s="8">
        <v>1.23</v>
      </c>
      <c r="F31" s="8">
        <v>94.33</v>
      </c>
      <c r="G31" s="8"/>
      <c r="H31" s="8"/>
      <c r="I31" s="2" t="s">
        <v>50</v>
      </c>
      <c r="J31" s="8">
        <v>1.53</v>
      </c>
      <c r="K31" s="8">
        <v>186.64</v>
      </c>
      <c r="L31" s="8"/>
      <c r="M31" s="8"/>
      <c r="N31" s="8">
        <v>116.46</v>
      </c>
      <c r="O31" s="8">
        <f t="shared" si="0"/>
        <v>497.62999999999994</v>
      </c>
      <c r="P31" s="12"/>
      <c r="R31" s="61">
        <f t="shared" si="1"/>
        <v>100.2</v>
      </c>
      <c r="S31" s="61">
        <f t="shared" si="2"/>
        <v>94.328699999999998</v>
      </c>
      <c r="T31" s="61">
        <f t="shared" si="3"/>
        <v>0</v>
      </c>
      <c r="U31" s="61">
        <f t="shared" si="4"/>
        <v>186.6447</v>
      </c>
      <c r="V31" s="61">
        <f t="shared" si="5"/>
        <v>0</v>
      </c>
      <c r="W31" s="61">
        <f t="shared" si="6"/>
        <v>116.46</v>
      </c>
      <c r="X31" s="61">
        <f t="shared" si="7"/>
        <v>497.63339999999999</v>
      </c>
      <c r="Y31" s="61">
        <f t="shared" si="8"/>
        <v>3.4000000000560249E-3</v>
      </c>
    </row>
    <row r="32" spans="2:25" x14ac:dyDescent="0.25">
      <c r="B32" s="7" t="s">
        <v>25</v>
      </c>
      <c r="C32" s="8">
        <v>1.4</v>
      </c>
      <c r="D32" s="8">
        <v>116.9</v>
      </c>
      <c r="E32" s="8">
        <v>1.42</v>
      </c>
      <c r="F32" s="8">
        <v>108.9</v>
      </c>
      <c r="G32" s="8"/>
      <c r="H32" s="8"/>
      <c r="I32" s="2" t="s">
        <v>51</v>
      </c>
      <c r="J32" s="8">
        <v>1.47</v>
      </c>
      <c r="K32" s="8">
        <v>179.33</v>
      </c>
      <c r="L32" s="8"/>
      <c r="M32" s="8"/>
      <c r="N32" s="8">
        <v>116.46</v>
      </c>
      <c r="O32" s="8">
        <f t="shared" si="0"/>
        <v>521.59</v>
      </c>
      <c r="P32" s="12"/>
      <c r="R32" s="61">
        <f t="shared" si="1"/>
        <v>116.89999999999999</v>
      </c>
      <c r="S32" s="61">
        <f t="shared" si="2"/>
        <v>108.89979999999998</v>
      </c>
      <c r="T32" s="61">
        <f t="shared" si="3"/>
        <v>0</v>
      </c>
      <c r="U32" s="61">
        <f t="shared" si="4"/>
        <v>179.3253</v>
      </c>
      <c r="V32" s="61">
        <f t="shared" si="5"/>
        <v>0</v>
      </c>
      <c r="W32" s="61">
        <f t="shared" si="6"/>
        <v>116.46</v>
      </c>
      <c r="X32" s="61">
        <f t="shared" si="7"/>
        <v>521.58510000000001</v>
      </c>
      <c r="Y32" s="61">
        <f t="shared" si="8"/>
        <v>-4.9000000000205546E-3</v>
      </c>
    </row>
    <row r="33" spans="2:25" x14ac:dyDescent="0.25">
      <c r="B33" s="7" t="s">
        <v>26</v>
      </c>
      <c r="C33" s="8">
        <v>1.47</v>
      </c>
      <c r="D33" s="8">
        <v>122.75</v>
      </c>
      <c r="E33" s="8">
        <v>1.47</v>
      </c>
      <c r="F33" s="8">
        <v>112.73</v>
      </c>
      <c r="G33" s="8"/>
      <c r="H33" s="8"/>
      <c r="I33" s="2" t="s">
        <v>52</v>
      </c>
      <c r="J33" s="8">
        <v>1.03</v>
      </c>
      <c r="K33" s="8">
        <v>125.65</v>
      </c>
      <c r="L33" s="8"/>
      <c r="M33" s="8"/>
      <c r="N33" s="8">
        <v>116.46</v>
      </c>
      <c r="O33" s="8">
        <f t="shared" si="0"/>
        <v>477.59</v>
      </c>
      <c r="P33" s="12"/>
      <c r="R33" s="61">
        <f t="shared" si="1"/>
        <v>122.745</v>
      </c>
      <c r="S33" s="61">
        <f t="shared" si="2"/>
        <v>112.73429999999999</v>
      </c>
      <c r="T33" s="61">
        <f t="shared" si="3"/>
        <v>0</v>
      </c>
      <c r="U33" s="61">
        <f t="shared" si="4"/>
        <v>125.6497</v>
      </c>
      <c r="V33" s="61">
        <f t="shared" si="5"/>
        <v>0</v>
      </c>
      <c r="W33" s="61">
        <f t="shared" si="6"/>
        <v>116.46</v>
      </c>
      <c r="X33" s="61">
        <f t="shared" si="7"/>
        <v>477.589</v>
      </c>
      <c r="Y33" s="61">
        <f t="shared" si="8"/>
        <v>-9.9999999997635314E-4</v>
      </c>
    </row>
    <row r="34" spans="2:25" x14ac:dyDescent="0.25">
      <c r="B34" s="7" t="s">
        <v>28</v>
      </c>
      <c r="C34" s="8">
        <v>1.02</v>
      </c>
      <c r="D34" s="8">
        <v>85.17</v>
      </c>
      <c r="E34" s="8">
        <v>1.03</v>
      </c>
      <c r="F34" s="8">
        <v>78.989999999999995</v>
      </c>
      <c r="G34" s="8"/>
      <c r="H34" s="8"/>
      <c r="I34" s="2" t="s">
        <v>53</v>
      </c>
      <c r="J34" s="8">
        <v>1.27</v>
      </c>
      <c r="K34" s="8">
        <v>154.93</v>
      </c>
      <c r="L34" s="8"/>
      <c r="M34" s="8"/>
      <c r="N34" s="8">
        <v>116.46</v>
      </c>
      <c r="O34" s="8">
        <f t="shared" si="0"/>
        <v>435.55</v>
      </c>
      <c r="P34" s="12"/>
      <c r="R34" s="61">
        <f t="shared" si="1"/>
        <v>85.17</v>
      </c>
      <c r="S34" s="61">
        <f t="shared" si="2"/>
        <v>78.990700000000004</v>
      </c>
      <c r="T34" s="61">
        <f t="shared" si="3"/>
        <v>0</v>
      </c>
      <c r="U34" s="61">
        <f t="shared" si="4"/>
        <v>154.9273</v>
      </c>
      <c r="V34" s="61">
        <f t="shared" si="5"/>
        <v>0</v>
      </c>
      <c r="W34" s="61">
        <f t="shared" si="6"/>
        <v>116.46</v>
      </c>
      <c r="X34" s="61">
        <f t="shared" si="7"/>
        <v>435.548</v>
      </c>
      <c r="Y34" s="61">
        <f t="shared" si="8"/>
        <v>-2.0000000000095497E-3</v>
      </c>
    </row>
    <row r="35" spans="2:25" x14ac:dyDescent="0.25">
      <c r="B35" s="7" t="s">
        <v>29</v>
      </c>
      <c r="C35" s="2"/>
      <c r="D35" s="2"/>
      <c r="E35" s="2"/>
      <c r="F35" s="2"/>
      <c r="G35" s="2"/>
      <c r="H35" s="2"/>
      <c r="I35" s="2" t="s">
        <v>54</v>
      </c>
      <c r="J35" s="8">
        <v>0.89</v>
      </c>
      <c r="K35" s="8">
        <v>108.57</v>
      </c>
      <c r="L35" s="8"/>
      <c r="M35" s="8"/>
      <c r="N35" s="8">
        <v>116.46</v>
      </c>
      <c r="O35" s="8">
        <f t="shared" si="0"/>
        <v>225.02999999999997</v>
      </c>
      <c r="P35" s="12"/>
      <c r="U35" s="61">
        <f t="shared" si="4"/>
        <v>108.5711</v>
      </c>
      <c r="V35" s="61">
        <f t="shared" si="5"/>
        <v>0</v>
      </c>
      <c r="W35" s="61">
        <f t="shared" si="6"/>
        <v>116.46</v>
      </c>
      <c r="X35" s="61">
        <f t="shared" si="7"/>
        <v>225.03109999999998</v>
      </c>
      <c r="Y35" s="61">
        <f t="shared" si="8"/>
        <v>1.1000000000080945E-3</v>
      </c>
    </row>
    <row r="36" spans="2:25" x14ac:dyDescent="0.25">
      <c r="B36" s="7" t="s">
        <v>30</v>
      </c>
      <c r="C36" s="2"/>
      <c r="D36" s="2"/>
      <c r="E36" s="2"/>
      <c r="F36" s="2"/>
      <c r="G36" s="2"/>
      <c r="H36" s="2"/>
      <c r="I36" s="2" t="s">
        <v>55</v>
      </c>
      <c r="J36" s="8">
        <v>0.98</v>
      </c>
      <c r="K36" s="8">
        <v>119.55</v>
      </c>
      <c r="L36" s="8"/>
      <c r="M36" s="8"/>
      <c r="N36" s="8">
        <v>116.46</v>
      </c>
      <c r="O36" s="8">
        <f t="shared" si="0"/>
        <v>236.01</v>
      </c>
      <c r="P36" s="12"/>
      <c r="U36" s="61">
        <f t="shared" si="4"/>
        <v>119.55019999999999</v>
      </c>
      <c r="V36" s="61">
        <f t="shared" si="5"/>
        <v>0</v>
      </c>
      <c r="W36" s="61">
        <f t="shared" si="6"/>
        <v>116.46</v>
      </c>
      <c r="X36" s="61">
        <f t="shared" si="7"/>
        <v>236.0102</v>
      </c>
      <c r="Y36" s="61">
        <f t="shared" si="8"/>
        <v>2.0000000000663931E-4</v>
      </c>
    </row>
    <row r="37" spans="2:25" x14ac:dyDescent="0.25">
      <c r="B37" s="7" t="s">
        <v>31</v>
      </c>
      <c r="C37" s="2"/>
      <c r="D37" s="2"/>
      <c r="E37" s="2"/>
      <c r="F37" s="2"/>
      <c r="G37" s="2"/>
      <c r="H37" s="2"/>
      <c r="I37" s="2" t="s">
        <v>56</v>
      </c>
      <c r="J37" s="8">
        <v>0.94</v>
      </c>
      <c r="K37" s="8">
        <v>114.67</v>
      </c>
      <c r="L37" s="8"/>
      <c r="M37" s="8"/>
      <c r="N37" s="8">
        <v>116.46</v>
      </c>
      <c r="O37" s="8">
        <f t="shared" si="0"/>
        <v>231.13</v>
      </c>
      <c r="P37" s="12"/>
      <c r="U37" s="61">
        <f t="shared" si="4"/>
        <v>114.67059999999999</v>
      </c>
      <c r="V37" s="61">
        <f t="shared" si="5"/>
        <v>0</v>
      </c>
      <c r="W37" s="61">
        <f t="shared" si="6"/>
        <v>116.46</v>
      </c>
      <c r="X37" s="61">
        <f t="shared" si="7"/>
        <v>231.13059999999999</v>
      </c>
      <c r="Y37" s="61">
        <f t="shared" si="8"/>
        <v>5.9999999999149622E-4</v>
      </c>
    </row>
    <row r="38" spans="2:25" x14ac:dyDescent="0.25">
      <c r="B38" s="7" t="s">
        <v>37</v>
      </c>
      <c r="C38" s="2"/>
      <c r="D38" s="2"/>
      <c r="E38" s="2"/>
      <c r="F38" s="2"/>
      <c r="G38" s="2"/>
      <c r="H38" s="2"/>
      <c r="I38" s="2" t="s">
        <v>57</v>
      </c>
      <c r="J38" s="8">
        <v>1.48</v>
      </c>
      <c r="K38" s="8">
        <v>180.55</v>
      </c>
      <c r="L38" s="8"/>
      <c r="M38" s="8"/>
      <c r="N38" s="8">
        <v>116.46</v>
      </c>
      <c r="O38" s="8">
        <f t="shared" si="0"/>
        <v>297.01</v>
      </c>
      <c r="P38" s="12"/>
      <c r="U38" s="61">
        <f t="shared" si="4"/>
        <v>180.54519999999999</v>
      </c>
      <c r="V38" s="61">
        <f t="shared" si="5"/>
        <v>0</v>
      </c>
      <c r="W38" s="61">
        <f t="shared" si="6"/>
        <v>116.46</v>
      </c>
      <c r="X38" s="61">
        <f t="shared" si="7"/>
        <v>297.0052</v>
      </c>
      <c r="Y38" s="61">
        <f t="shared" si="8"/>
        <v>-4.7999999999888132E-3</v>
      </c>
    </row>
    <row r="39" spans="2:25" x14ac:dyDescent="0.25">
      <c r="B39" s="7" t="s">
        <v>32</v>
      </c>
      <c r="C39" s="2"/>
      <c r="D39" s="2"/>
      <c r="E39" s="2"/>
      <c r="F39" s="2"/>
      <c r="G39" s="2"/>
      <c r="H39" s="2"/>
      <c r="I39" s="2" t="s">
        <v>58</v>
      </c>
      <c r="J39" s="8">
        <v>1.39</v>
      </c>
      <c r="K39" s="8">
        <v>169.57</v>
      </c>
      <c r="L39" s="8"/>
      <c r="M39" s="8"/>
      <c r="N39" s="8">
        <v>116.46</v>
      </c>
      <c r="O39" s="8">
        <f t="shared" si="0"/>
        <v>286.02999999999997</v>
      </c>
      <c r="P39" s="12"/>
      <c r="U39" s="61">
        <f t="shared" si="4"/>
        <v>169.56609999999998</v>
      </c>
      <c r="V39" s="61">
        <f t="shared" si="5"/>
        <v>0</v>
      </c>
      <c r="W39" s="61">
        <f t="shared" si="6"/>
        <v>116.46</v>
      </c>
      <c r="X39" s="61">
        <f t="shared" si="7"/>
        <v>286.02609999999999</v>
      </c>
      <c r="Y39" s="61">
        <f t="shared" si="8"/>
        <v>-3.899999999987358E-3</v>
      </c>
    </row>
    <row r="40" spans="2:25" x14ac:dyDescent="0.25">
      <c r="B40" s="7" t="s">
        <v>33</v>
      </c>
      <c r="C40" s="2"/>
      <c r="D40" s="2"/>
      <c r="E40" s="2"/>
      <c r="F40" s="2"/>
      <c r="G40" s="2"/>
      <c r="H40" s="2"/>
      <c r="I40" s="2" t="s">
        <v>59</v>
      </c>
      <c r="J40" s="8">
        <v>1.1499999999999999</v>
      </c>
      <c r="K40" s="8">
        <v>140.29</v>
      </c>
      <c r="L40" s="8"/>
      <c r="M40" s="8"/>
      <c r="N40" s="8">
        <v>116.46</v>
      </c>
      <c r="O40" s="8">
        <f t="shared" si="0"/>
        <v>256.75</v>
      </c>
      <c r="P40" s="12"/>
      <c r="U40" s="61">
        <f t="shared" si="4"/>
        <v>140.28849999999997</v>
      </c>
      <c r="V40" s="61">
        <f t="shared" si="5"/>
        <v>0</v>
      </c>
      <c r="W40" s="61">
        <f t="shared" si="6"/>
        <v>116.46</v>
      </c>
      <c r="X40" s="61">
        <f t="shared" si="7"/>
        <v>256.74849999999998</v>
      </c>
      <c r="Y40" s="61">
        <f t="shared" si="8"/>
        <v>-1.5000000000213731E-3</v>
      </c>
    </row>
    <row r="41" spans="2:25" x14ac:dyDescent="0.25">
      <c r="B41" s="7" t="s">
        <v>34</v>
      </c>
      <c r="C41" s="2"/>
      <c r="D41" s="2"/>
      <c r="E41" s="2"/>
      <c r="F41" s="2"/>
      <c r="G41" s="2"/>
      <c r="H41" s="2"/>
      <c r="I41" s="2" t="s">
        <v>60</v>
      </c>
      <c r="J41" s="8">
        <v>0.67</v>
      </c>
      <c r="K41" s="8">
        <v>81.73</v>
      </c>
      <c r="L41" s="8"/>
      <c r="M41" s="8"/>
      <c r="N41" s="8">
        <v>116.46</v>
      </c>
      <c r="O41" s="8">
        <f t="shared" si="0"/>
        <v>198.19</v>
      </c>
      <c r="P41" s="12"/>
      <c r="U41" s="61">
        <f t="shared" si="4"/>
        <v>81.7333</v>
      </c>
      <c r="V41" s="61">
        <f t="shared" si="5"/>
        <v>0</v>
      </c>
      <c r="W41" s="61">
        <f t="shared" si="6"/>
        <v>116.46</v>
      </c>
      <c r="X41" s="61">
        <f t="shared" si="7"/>
        <v>198.19329999999999</v>
      </c>
      <c r="Y41" s="61">
        <f t="shared" si="8"/>
        <v>3.2999999999958618E-3</v>
      </c>
    </row>
    <row r="42" spans="2:25" x14ac:dyDescent="0.25">
      <c r="B42" s="7" t="s">
        <v>35</v>
      </c>
      <c r="C42" s="2"/>
      <c r="D42" s="2"/>
      <c r="E42" s="2"/>
      <c r="F42" s="2"/>
      <c r="G42" s="2"/>
      <c r="H42" s="2"/>
      <c r="I42" s="2" t="s">
        <v>61</v>
      </c>
      <c r="J42" s="8">
        <v>1.07</v>
      </c>
      <c r="K42" s="8">
        <v>130.53</v>
      </c>
      <c r="L42" s="8"/>
      <c r="M42" s="8"/>
      <c r="N42" s="8">
        <v>116.46</v>
      </c>
      <c r="O42" s="8">
        <f t="shared" si="0"/>
        <v>246.99</v>
      </c>
      <c r="P42" s="12"/>
      <c r="U42" s="61">
        <f t="shared" si="4"/>
        <v>130.52930000000001</v>
      </c>
      <c r="V42" s="61">
        <f t="shared" si="5"/>
        <v>0</v>
      </c>
      <c r="W42" s="61">
        <f t="shared" si="6"/>
        <v>116.46</v>
      </c>
      <c r="X42" s="61">
        <f t="shared" si="7"/>
        <v>246.98930000000001</v>
      </c>
      <c r="Y42" s="61">
        <f t="shared" si="8"/>
        <v>-6.9999999999481588E-4</v>
      </c>
    </row>
    <row r="43" spans="2:25" x14ac:dyDescent="0.25">
      <c r="B43" s="7" t="s">
        <v>36</v>
      </c>
      <c r="C43" s="2"/>
      <c r="D43" s="2"/>
      <c r="E43" s="2"/>
      <c r="F43" s="2"/>
      <c r="G43" s="2"/>
      <c r="H43" s="2"/>
      <c r="I43" s="2" t="s">
        <v>62</v>
      </c>
      <c r="J43" s="8">
        <v>0.62</v>
      </c>
      <c r="K43" s="8">
        <v>75.63</v>
      </c>
      <c r="L43" s="8"/>
      <c r="M43" s="8"/>
      <c r="N43" s="8">
        <v>116.46</v>
      </c>
      <c r="O43" s="8">
        <f t="shared" si="0"/>
        <v>192.08999999999997</v>
      </c>
      <c r="P43" s="12"/>
      <c r="U43" s="61">
        <f t="shared" si="4"/>
        <v>75.633799999999994</v>
      </c>
      <c r="V43" s="61">
        <f t="shared" si="5"/>
        <v>0</v>
      </c>
      <c r="W43" s="61">
        <f t="shared" si="6"/>
        <v>116.46</v>
      </c>
      <c r="X43" s="61">
        <f t="shared" si="7"/>
        <v>192.09379999999999</v>
      </c>
      <c r="Y43" s="61">
        <f t="shared" si="8"/>
        <v>3.8000000000124601E-3</v>
      </c>
    </row>
    <row r="44" spans="2:25" x14ac:dyDescent="0.25">
      <c r="B44" s="6"/>
      <c r="C44" s="3"/>
      <c r="D44" s="3"/>
      <c r="E44" s="3"/>
      <c r="F44" s="3"/>
      <c r="G44" s="3"/>
      <c r="H44" s="3"/>
      <c r="I44" s="3"/>
      <c r="J44" s="10"/>
      <c r="K44" s="10"/>
      <c r="L44" s="10"/>
      <c r="M44" s="10"/>
    </row>
    <row r="46" spans="2:25" x14ac:dyDescent="0.25">
      <c r="B46" s="1" t="s">
        <v>286</v>
      </c>
    </row>
    <row r="47" spans="2:25" x14ac:dyDescent="0.25">
      <c r="B47" s="4" t="s">
        <v>8</v>
      </c>
      <c r="C47" s="4" t="s">
        <v>2</v>
      </c>
      <c r="D47" s="4" t="s">
        <v>2</v>
      </c>
      <c r="E47" s="4" t="s">
        <v>3</v>
      </c>
      <c r="F47" s="4" t="s">
        <v>3</v>
      </c>
      <c r="G47" s="4" t="s">
        <v>4</v>
      </c>
      <c r="H47" s="4" t="s">
        <v>4</v>
      </c>
      <c r="I47" s="4" t="s">
        <v>5</v>
      </c>
      <c r="J47" s="4" t="s">
        <v>5</v>
      </c>
      <c r="K47" s="4" t="s">
        <v>5</v>
      </c>
      <c r="L47" s="4" t="s">
        <v>6</v>
      </c>
      <c r="M47" s="4" t="s">
        <v>6</v>
      </c>
      <c r="N47" s="4" t="s">
        <v>7</v>
      </c>
      <c r="O47" s="4" t="s">
        <v>69</v>
      </c>
    </row>
    <row r="48" spans="2:25" x14ac:dyDescent="0.25">
      <c r="B48" s="5" t="s">
        <v>9</v>
      </c>
      <c r="C48" s="5" t="s">
        <v>10</v>
      </c>
      <c r="D48" s="5" t="s">
        <v>11</v>
      </c>
      <c r="E48" s="5" t="s">
        <v>10</v>
      </c>
      <c r="F48" s="5" t="s">
        <v>11</v>
      </c>
      <c r="G48" s="5" t="s">
        <v>10</v>
      </c>
      <c r="H48" s="5" t="s">
        <v>11</v>
      </c>
      <c r="I48" s="5" t="s">
        <v>12</v>
      </c>
      <c r="J48" s="5" t="s">
        <v>10</v>
      </c>
      <c r="K48" s="5" t="s">
        <v>11</v>
      </c>
      <c r="L48" s="5" t="s">
        <v>10</v>
      </c>
      <c r="M48" s="5" t="s">
        <v>11</v>
      </c>
      <c r="N48" s="5" t="s">
        <v>11</v>
      </c>
      <c r="O48" s="5" t="s">
        <v>68</v>
      </c>
    </row>
    <row r="49" spans="2:25" x14ac:dyDescent="0.25">
      <c r="B49" s="7" t="s">
        <v>13</v>
      </c>
      <c r="C49" s="8">
        <v>1.45</v>
      </c>
      <c r="D49" s="8">
        <v>106.21</v>
      </c>
      <c r="E49" s="8">
        <v>1.41</v>
      </c>
      <c r="F49" s="8">
        <v>96.16</v>
      </c>
      <c r="G49" s="8">
        <v>0.64</v>
      </c>
      <c r="H49" s="8">
        <v>17.5</v>
      </c>
      <c r="I49" s="2" t="s">
        <v>38</v>
      </c>
      <c r="J49" s="8">
        <v>3.84</v>
      </c>
      <c r="K49" s="8">
        <v>490.29</v>
      </c>
      <c r="L49" s="8">
        <v>3.06</v>
      </c>
      <c r="M49" s="8">
        <v>294.77</v>
      </c>
      <c r="N49" s="8">
        <v>114.34</v>
      </c>
      <c r="O49" s="8">
        <f>+D49+F49+H49+K49+M49+N49</f>
        <v>1119.27</v>
      </c>
      <c r="R49" s="61">
        <f>+C49*$C$14</f>
        <v>106.21249999999999</v>
      </c>
      <c r="S49" s="61">
        <f>+E49*$D$14</f>
        <v>96.133800000000008</v>
      </c>
      <c r="T49" s="61">
        <f>+G49*$E$14</f>
        <v>17.504000000000001</v>
      </c>
      <c r="U49" s="61">
        <f>+J49*$F$14</f>
        <v>490.2912</v>
      </c>
      <c r="V49" s="61">
        <f>+L49*$G$14</f>
        <v>294.76979999999998</v>
      </c>
      <c r="W49" s="61">
        <f>+$H$14</f>
        <v>114.34</v>
      </c>
      <c r="X49" s="61">
        <f t="shared" ref="X49" si="9">SUM(R49:W49)</f>
        <v>1119.2512999999999</v>
      </c>
      <c r="Y49" s="61">
        <f t="shared" ref="Y49" si="10">+X49-O49</f>
        <v>-1.8700000000080763E-2</v>
      </c>
    </row>
    <row r="50" spans="2:25" x14ac:dyDescent="0.25">
      <c r="B50" s="7" t="s">
        <v>14</v>
      </c>
      <c r="C50" s="8">
        <v>1.61</v>
      </c>
      <c r="D50" s="8">
        <v>117.93</v>
      </c>
      <c r="E50" s="8">
        <v>1.54</v>
      </c>
      <c r="F50" s="8">
        <v>105</v>
      </c>
      <c r="G50" s="8">
        <v>1.72</v>
      </c>
      <c r="H50" s="8">
        <v>47.04</v>
      </c>
      <c r="I50" s="2" t="s">
        <v>39</v>
      </c>
      <c r="J50" s="8">
        <v>2.9</v>
      </c>
      <c r="K50" s="8">
        <v>370.27</v>
      </c>
      <c r="L50" s="8">
        <v>2.39</v>
      </c>
      <c r="M50" s="8">
        <v>230.23</v>
      </c>
      <c r="N50" s="8">
        <v>114.34</v>
      </c>
      <c r="O50" s="8">
        <f t="shared" ref="O50:O73" si="11">+D50+F50+H50+K50+M50+N50</f>
        <v>984.81000000000006</v>
      </c>
      <c r="R50" s="61">
        <f t="shared" ref="R50:R73" si="12">+C50*$C$14</f>
        <v>117.9325</v>
      </c>
      <c r="S50" s="61">
        <f t="shared" ref="S50:S73" si="13">+E50*$D$14</f>
        <v>104.99720000000001</v>
      </c>
      <c r="T50" s="61">
        <f t="shared" ref="T50:T73" si="14">+G50*$E$14</f>
        <v>47.042000000000002</v>
      </c>
      <c r="U50" s="61">
        <f t="shared" ref="U50:U73" si="15">+J50*$F$14</f>
        <v>370.27199999999999</v>
      </c>
      <c r="V50" s="61">
        <f t="shared" ref="V50:V73" si="16">+L50*$G$14</f>
        <v>230.2287</v>
      </c>
      <c r="W50" s="61">
        <f t="shared" ref="W50:W73" si="17">+$H$14</f>
        <v>114.34</v>
      </c>
      <c r="X50" s="61">
        <f t="shared" ref="X50:X73" si="18">SUM(R50:W50)</f>
        <v>984.81240000000003</v>
      </c>
      <c r="Y50" s="61">
        <f t="shared" ref="Y50:Y73" si="19">+X50-O50</f>
        <v>2.3999999999659849E-3</v>
      </c>
    </row>
    <row r="51" spans="2:25" x14ac:dyDescent="0.25">
      <c r="B51" s="7" t="s">
        <v>15</v>
      </c>
      <c r="C51" s="8">
        <v>1.78</v>
      </c>
      <c r="D51" s="8">
        <v>130.38999999999999</v>
      </c>
      <c r="E51" s="8">
        <v>1.6</v>
      </c>
      <c r="F51" s="8">
        <v>109.09</v>
      </c>
      <c r="G51" s="8">
        <v>2.52</v>
      </c>
      <c r="H51" s="8">
        <v>68.92</v>
      </c>
      <c r="I51" s="2" t="s">
        <v>40</v>
      </c>
      <c r="J51" s="8">
        <v>2.77</v>
      </c>
      <c r="K51" s="8">
        <v>353.67</v>
      </c>
      <c r="L51" s="8">
        <v>1.74</v>
      </c>
      <c r="M51" s="8">
        <v>167.61</v>
      </c>
      <c r="N51" s="8">
        <v>114.34</v>
      </c>
      <c r="O51" s="8">
        <f t="shared" si="11"/>
        <v>944.02</v>
      </c>
      <c r="R51" s="61">
        <f t="shared" si="12"/>
        <v>130.38499999999999</v>
      </c>
      <c r="S51" s="61">
        <f t="shared" si="13"/>
        <v>109.08800000000002</v>
      </c>
      <c r="T51" s="61">
        <f t="shared" si="14"/>
        <v>68.921999999999997</v>
      </c>
      <c r="U51" s="61">
        <f t="shared" si="15"/>
        <v>353.67360000000002</v>
      </c>
      <c r="V51" s="61">
        <f t="shared" si="16"/>
        <v>167.61419999999998</v>
      </c>
      <c r="W51" s="61">
        <f t="shared" si="17"/>
        <v>114.34</v>
      </c>
      <c r="X51" s="61">
        <f t="shared" si="18"/>
        <v>944.02280000000007</v>
      </c>
      <c r="Y51" s="61">
        <f t="shared" si="19"/>
        <v>2.8000000000929504E-3</v>
      </c>
    </row>
    <row r="52" spans="2:25" x14ac:dyDescent="0.25">
      <c r="B52" s="7" t="s">
        <v>16</v>
      </c>
      <c r="C52" s="8">
        <v>1.81</v>
      </c>
      <c r="D52" s="8">
        <v>132.58000000000001</v>
      </c>
      <c r="E52" s="8">
        <v>1.45</v>
      </c>
      <c r="F52" s="8">
        <v>98.86</v>
      </c>
      <c r="G52" s="8">
        <v>1.38</v>
      </c>
      <c r="H52" s="8">
        <v>37.74</v>
      </c>
      <c r="I52" s="2" t="s">
        <v>41</v>
      </c>
      <c r="J52" s="8">
        <v>2.27</v>
      </c>
      <c r="K52" s="8">
        <v>289.83</v>
      </c>
      <c r="L52" s="8">
        <v>1.26</v>
      </c>
      <c r="M52" s="8">
        <v>121.38</v>
      </c>
      <c r="N52" s="8">
        <v>114.34</v>
      </c>
      <c r="O52" s="8">
        <f t="shared" si="11"/>
        <v>794.73</v>
      </c>
      <c r="R52" s="61">
        <f t="shared" si="12"/>
        <v>132.58250000000001</v>
      </c>
      <c r="S52" s="61">
        <f t="shared" si="13"/>
        <v>98.861000000000004</v>
      </c>
      <c r="T52" s="61">
        <f t="shared" si="14"/>
        <v>37.743000000000002</v>
      </c>
      <c r="U52" s="61">
        <f t="shared" si="15"/>
        <v>289.83359999999999</v>
      </c>
      <c r="V52" s="61">
        <f t="shared" si="16"/>
        <v>121.3758</v>
      </c>
      <c r="W52" s="61">
        <f t="shared" si="17"/>
        <v>114.34</v>
      </c>
      <c r="X52" s="61">
        <f t="shared" si="18"/>
        <v>794.73590000000002</v>
      </c>
      <c r="Y52" s="61">
        <f t="shared" si="19"/>
        <v>5.8999999999969077E-3</v>
      </c>
    </row>
    <row r="53" spans="2:25" x14ac:dyDescent="0.25">
      <c r="B53" s="7" t="s">
        <v>17</v>
      </c>
      <c r="C53" s="8">
        <v>1.34</v>
      </c>
      <c r="D53" s="8">
        <v>98.16</v>
      </c>
      <c r="E53" s="8">
        <v>1.33</v>
      </c>
      <c r="F53" s="8">
        <v>90.68</v>
      </c>
      <c r="G53" s="8">
        <v>2.21</v>
      </c>
      <c r="H53" s="8">
        <v>60.44</v>
      </c>
      <c r="I53" s="2" t="s">
        <v>42</v>
      </c>
      <c r="J53" s="8">
        <v>1.88</v>
      </c>
      <c r="K53" s="8">
        <v>240.04</v>
      </c>
      <c r="L53" s="8">
        <v>0.91</v>
      </c>
      <c r="M53" s="8">
        <v>87.66</v>
      </c>
      <c r="N53" s="8">
        <v>114.34</v>
      </c>
      <c r="O53" s="8">
        <f t="shared" si="11"/>
        <v>691.32</v>
      </c>
      <c r="R53" s="61">
        <f t="shared" si="12"/>
        <v>98.155000000000001</v>
      </c>
      <c r="S53" s="61">
        <f t="shared" si="13"/>
        <v>90.679400000000015</v>
      </c>
      <c r="T53" s="61">
        <f t="shared" si="14"/>
        <v>60.4435</v>
      </c>
      <c r="U53" s="61">
        <f t="shared" si="15"/>
        <v>240.0384</v>
      </c>
      <c r="V53" s="61">
        <f t="shared" si="16"/>
        <v>87.660300000000007</v>
      </c>
      <c r="W53" s="61">
        <f t="shared" si="17"/>
        <v>114.34</v>
      </c>
      <c r="X53" s="61">
        <f t="shared" si="18"/>
        <v>691.31659999999999</v>
      </c>
      <c r="Y53" s="61">
        <f t="shared" si="19"/>
        <v>-3.4000000000560249E-3</v>
      </c>
    </row>
    <row r="54" spans="2:25" x14ac:dyDescent="0.25">
      <c r="B54" s="7" t="s">
        <v>18</v>
      </c>
      <c r="C54" s="8">
        <v>1.52</v>
      </c>
      <c r="D54" s="8">
        <v>111.34</v>
      </c>
      <c r="E54" s="8">
        <v>1.51</v>
      </c>
      <c r="F54" s="8">
        <v>102.95</v>
      </c>
      <c r="G54" s="8">
        <v>2.82</v>
      </c>
      <c r="H54" s="8">
        <v>77.13</v>
      </c>
      <c r="I54" s="2" t="s">
        <v>43</v>
      </c>
      <c r="J54" s="8">
        <v>2.12</v>
      </c>
      <c r="K54" s="8">
        <v>270.68</v>
      </c>
      <c r="L54" s="8">
        <v>0.68</v>
      </c>
      <c r="M54" s="8">
        <v>65.5</v>
      </c>
      <c r="N54" s="8">
        <v>114.34</v>
      </c>
      <c r="O54" s="8">
        <f t="shared" si="11"/>
        <v>741.94</v>
      </c>
      <c r="R54" s="61">
        <f t="shared" si="12"/>
        <v>111.34</v>
      </c>
      <c r="S54" s="61">
        <f t="shared" si="13"/>
        <v>102.95180000000001</v>
      </c>
      <c r="T54" s="61">
        <f t="shared" si="14"/>
        <v>77.126999999999995</v>
      </c>
      <c r="U54" s="61">
        <f t="shared" si="15"/>
        <v>270.6816</v>
      </c>
      <c r="V54" s="61">
        <f t="shared" si="16"/>
        <v>65.504400000000004</v>
      </c>
      <c r="W54" s="61">
        <f t="shared" si="17"/>
        <v>114.34</v>
      </c>
      <c r="X54" s="61">
        <f t="shared" si="18"/>
        <v>741.9448000000001</v>
      </c>
      <c r="Y54" s="61">
        <f t="shared" si="19"/>
        <v>4.8000000000456566E-3</v>
      </c>
    </row>
    <row r="55" spans="2:25" x14ac:dyDescent="0.25">
      <c r="B55" s="7" t="s">
        <v>27</v>
      </c>
      <c r="C55" s="8">
        <v>1.58</v>
      </c>
      <c r="D55" s="8">
        <v>115.74</v>
      </c>
      <c r="E55" s="8">
        <v>1.55</v>
      </c>
      <c r="F55" s="8">
        <v>105.68</v>
      </c>
      <c r="G55" s="8">
        <v>1.93</v>
      </c>
      <c r="H55" s="8">
        <v>52.79</v>
      </c>
      <c r="I55" s="2" t="s">
        <v>44</v>
      </c>
      <c r="J55" s="8">
        <v>1.76</v>
      </c>
      <c r="K55" s="8">
        <v>224.72</v>
      </c>
      <c r="L55" s="8"/>
      <c r="M55" s="8"/>
      <c r="N55" s="8">
        <v>114.34</v>
      </c>
      <c r="O55" s="8">
        <f t="shared" si="11"/>
        <v>613.2700000000001</v>
      </c>
      <c r="R55" s="61">
        <f t="shared" si="12"/>
        <v>115.735</v>
      </c>
      <c r="S55" s="61">
        <f t="shared" si="13"/>
        <v>105.67900000000002</v>
      </c>
      <c r="T55" s="61">
        <f t="shared" si="14"/>
        <v>52.785499999999999</v>
      </c>
      <c r="U55" s="61">
        <f t="shared" si="15"/>
        <v>224.71680000000001</v>
      </c>
      <c r="V55" s="61">
        <f t="shared" si="16"/>
        <v>0</v>
      </c>
      <c r="W55" s="61">
        <f t="shared" si="17"/>
        <v>114.34</v>
      </c>
      <c r="X55" s="61">
        <f t="shared" si="18"/>
        <v>613.25630000000001</v>
      </c>
      <c r="Y55" s="61">
        <f t="shared" si="19"/>
        <v>-1.3700000000085311E-2</v>
      </c>
    </row>
    <row r="56" spans="2:25" x14ac:dyDescent="0.25">
      <c r="B56" s="7" t="s">
        <v>19</v>
      </c>
      <c r="C56" s="8">
        <v>1.1000000000000001</v>
      </c>
      <c r="D56" s="8">
        <v>80.58</v>
      </c>
      <c r="E56" s="8">
        <v>1.0900000000000001</v>
      </c>
      <c r="F56" s="8">
        <v>74.319999999999993</v>
      </c>
      <c r="G56" s="8">
        <v>2.7</v>
      </c>
      <c r="H56" s="8">
        <v>73.849999999999994</v>
      </c>
      <c r="I56" s="2" t="s">
        <v>45</v>
      </c>
      <c r="J56" s="8">
        <v>1.97</v>
      </c>
      <c r="K56" s="8">
        <v>251.53</v>
      </c>
      <c r="L56" s="8"/>
      <c r="M56" s="8"/>
      <c r="N56" s="8">
        <v>114.34</v>
      </c>
      <c r="O56" s="8">
        <f t="shared" si="11"/>
        <v>594.62</v>
      </c>
      <c r="R56" s="61">
        <f t="shared" si="12"/>
        <v>80.575000000000003</v>
      </c>
      <c r="S56" s="61">
        <f t="shared" si="13"/>
        <v>74.316200000000009</v>
      </c>
      <c r="T56" s="61">
        <f t="shared" si="14"/>
        <v>73.845000000000013</v>
      </c>
      <c r="U56" s="61">
        <f t="shared" si="15"/>
        <v>251.52960000000002</v>
      </c>
      <c r="V56" s="61">
        <f t="shared" si="16"/>
        <v>0</v>
      </c>
      <c r="W56" s="61">
        <f t="shared" si="17"/>
        <v>114.34</v>
      </c>
      <c r="X56" s="61">
        <f t="shared" si="18"/>
        <v>594.60580000000004</v>
      </c>
      <c r="Y56" s="61">
        <f t="shared" si="19"/>
        <v>-1.41999999999598E-2</v>
      </c>
    </row>
    <row r="57" spans="2:25" x14ac:dyDescent="0.25">
      <c r="B57" s="7" t="s">
        <v>20</v>
      </c>
      <c r="C57" s="8">
        <v>1.07</v>
      </c>
      <c r="D57" s="8">
        <v>78.38</v>
      </c>
      <c r="E57" s="8">
        <v>1.1200000000000001</v>
      </c>
      <c r="F57" s="8">
        <v>76.36</v>
      </c>
      <c r="G57" s="8">
        <v>3.34</v>
      </c>
      <c r="H57" s="8">
        <v>91.35</v>
      </c>
      <c r="I57" s="2" t="s">
        <v>46</v>
      </c>
      <c r="J57" s="8">
        <v>1.64</v>
      </c>
      <c r="K57" s="8">
        <v>209.4</v>
      </c>
      <c r="L57" s="8"/>
      <c r="M57" s="8"/>
      <c r="N57" s="8">
        <v>114.34</v>
      </c>
      <c r="O57" s="8">
        <f t="shared" si="11"/>
        <v>569.83000000000004</v>
      </c>
      <c r="R57" s="61">
        <f t="shared" si="12"/>
        <v>78.377499999999998</v>
      </c>
      <c r="S57" s="61">
        <f t="shared" si="13"/>
        <v>76.36160000000001</v>
      </c>
      <c r="T57" s="61">
        <f t="shared" si="14"/>
        <v>91.349000000000004</v>
      </c>
      <c r="U57" s="61">
        <f t="shared" si="15"/>
        <v>209.39519999999999</v>
      </c>
      <c r="V57" s="61">
        <f t="shared" si="16"/>
        <v>0</v>
      </c>
      <c r="W57" s="61">
        <f t="shared" si="17"/>
        <v>114.34</v>
      </c>
      <c r="X57" s="61">
        <f t="shared" si="18"/>
        <v>569.82330000000002</v>
      </c>
      <c r="Y57" s="61">
        <f t="shared" si="19"/>
        <v>-6.700000000023465E-3</v>
      </c>
    </row>
    <row r="58" spans="2:25" x14ac:dyDescent="0.25">
      <c r="B58" s="7" t="s">
        <v>21</v>
      </c>
      <c r="C58" s="8">
        <v>1.34</v>
      </c>
      <c r="D58" s="8">
        <v>98.16</v>
      </c>
      <c r="E58" s="8">
        <v>1.37</v>
      </c>
      <c r="F58" s="8">
        <v>93.41</v>
      </c>
      <c r="G58" s="8">
        <v>2.83</v>
      </c>
      <c r="H58" s="8">
        <v>77.400000000000006</v>
      </c>
      <c r="I58" s="2" t="s">
        <v>47</v>
      </c>
      <c r="J58" s="8">
        <v>1.63</v>
      </c>
      <c r="K58" s="8">
        <v>208.12</v>
      </c>
      <c r="L58" s="8"/>
      <c r="M58" s="8"/>
      <c r="N58" s="8">
        <v>114.34</v>
      </c>
      <c r="O58" s="8">
        <f t="shared" si="11"/>
        <v>591.43000000000006</v>
      </c>
      <c r="R58" s="61">
        <f t="shared" si="12"/>
        <v>98.155000000000001</v>
      </c>
      <c r="S58" s="61">
        <f t="shared" si="13"/>
        <v>93.406600000000012</v>
      </c>
      <c r="T58" s="61">
        <f t="shared" si="14"/>
        <v>77.400500000000008</v>
      </c>
      <c r="U58" s="61">
        <f t="shared" si="15"/>
        <v>208.11840000000001</v>
      </c>
      <c r="V58" s="61">
        <f t="shared" si="16"/>
        <v>0</v>
      </c>
      <c r="W58" s="61">
        <f t="shared" si="17"/>
        <v>114.34</v>
      </c>
      <c r="X58" s="61">
        <f t="shared" si="18"/>
        <v>591.42050000000006</v>
      </c>
      <c r="Y58" s="61">
        <f t="shared" si="19"/>
        <v>-9.5000000000027285E-3</v>
      </c>
    </row>
    <row r="59" spans="2:25" x14ac:dyDescent="0.25">
      <c r="B59" s="7" t="s">
        <v>22</v>
      </c>
      <c r="C59" s="8">
        <v>1.44</v>
      </c>
      <c r="D59" s="8">
        <v>105.48</v>
      </c>
      <c r="E59" s="8">
        <v>1.46</v>
      </c>
      <c r="F59" s="8">
        <v>99.54</v>
      </c>
      <c r="G59" s="8">
        <v>3.5</v>
      </c>
      <c r="H59" s="8">
        <v>95.73</v>
      </c>
      <c r="I59" s="2" t="s">
        <v>48</v>
      </c>
      <c r="J59" s="8">
        <v>1.35</v>
      </c>
      <c r="K59" s="8">
        <v>172.37</v>
      </c>
      <c r="L59" s="8"/>
      <c r="M59" s="8"/>
      <c r="N59" s="8">
        <v>114.34</v>
      </c>
      <c r="O59" s="8">
        <f t="shared" si="11"/>
        <v>587.46</v>
      </c>
      <c r="R59" s="61">
        <f t="shared" si="12"/>
        <v>105.47999999999999</v>
      </c>
      <c r="S59" s="61">
        <f t="shared" si="13"/>
        <v>99.542800000000014</v>
      </c>
      <c r="T59" s="61">
        <f t="shared" si="14"/>
        <v>95.725000000000009</v>
      </c>
      <c r="U59" s="61">
        <f t="shared" si="15"/>
        <v>172.36800000000002</v>
      </c>
      <c r="V59" s="61">
        <f t="shared" si="16"/>
        <v>0</v>
      </c>
      <c r="W59" s="61">
        <f t="shared" si="17"/>
        <v>114.34</v>
      </c>
      <c r="X59" s="61">
        <f t="shared" si="18"/>
        <v>587.45580000000007</v>
      </c>
      <c r="Y59" s="61">
        <f t="shared" si="19"/>
        <v>-4.1999999999688953E-3</v>
      </c>
    </row>
    <row r="60" spans="2:25" x14ac:dyDescent="0.25">
      <c r="B60" s="7" t="s">
        <v>23</v>
      </c>
      <c r="C60" s="8">
        <v>1.03</v>
      </c>
      <c r="D60" s="8">
        <v>75.45</v>
      </c>
      <c r="E60" s="8">
        <v>1.05</v>
      </c>
      <c r="F60" s="8">
        <v>71.59</v>
      </c>
      <c r="G60" s="8">
        <v>3.98</v>
      </c>
      <c r="H60" s="8">
        <v>108.85</v>
      </c>
      <c r="I60" s="2" t="s">
        <v>49</v>
      </c>
      <c r="J60" s="8">
        <v>1.77</v>
      </c>
      <c r="K60" s="8">
        <v>225.99</v>
      </c>
      <c r="L60" s="8"/>
      <c r="M60" s="8"/>
      <c r="N60" s="8">
        <v>114.34</v>
      </c>
      <c r="O60" s="8">
        <f t="shared" si="11"/>
        <v>596.22</v>
      </c>
      <c r="R60" s="61">
        <f t="shared" si="12"/>
        <v>75.447500000000005</v>
      </c>
      <c r="S60" s="61">
        <f t="shared" si="13"/>
        <v>71.589000000000013</v>
      </c>
      <c r="T60" s="61">
        <f t="shared" si="14"/>
        <v>108.85300000000001</v>
      </c>
      <c r="U60" s="61">
        <f t="shared" si="15"/>
        <v>225.99360000000001</v>
      </c>
      <c r="V60" s="61">
        <f t="shared" si="16"/>
        <v>0</v>
      </c>
      <c r="W60" s="61">
        <f t="shared" si="17"/>
        <v>114.34</v>
      </c>
      <c r="X60" s="61">
        <f t="shared" si="18"/>
        <v>596.22310000000004</v>
      </c>
      <c r="Y60" s="61">
        <f t="shared" si="19"/>
        <v>3.1000000000176442E-3</v>
      </c>
    </row>
    <row r="61" spans="2:25" x14ac:dyDescent="0.25">
      <c r="B61" s="7" t="s">
        <v>24</v>
      </c>
      <c r="C61" s="8">
        <v>1.2</v>
      </c>
      <c r="D61" s="8">
        <v>87.9</v>
      </c>
      <c r="E61" s="8">
        <v>1.23</v>
      </c>
      <c r="F61" s="8">
        <v>83.86</v>
      </c>
      <c r="G61" s="8"/>
      <c r="H61" s="8"/>
      <c r="I61" s="2" t="s">
        <v>50</v>
      </c>
      <c r="J61" s="8">
        <v>1.53</v>
      </c>
      <c r="K61" s="8">
        <v>195.35</v>
      </c>
      <c r="L61" s="8"/>
      <c r="M61" s="8"/>
      <c r="N61" s="8">
        <v>114.34</v>
      </c>
      <c r="O61" s="8">
        <f t="shared" si="11"/>
        <v>481.45000000000005</v>
      </c>
      <c r="R61" s="61">
        <f t="shared" si="12"/>
        <v>87.899999999999991</v>
      </c>
      <c r="S61" s="61">
        <f t="shared" si="13"/>
        <v>83.861400000000003</v>
      </c>
      <c r="T61" s="61">
        <f t="shared" si="14"/>
        <v>0</v>
      </c>
      <c r="U61" s="61">
        <f t="shared" si="15"/>
        <v>195.35040000000001</v>
      </c>
      <c r="V61" s="61">
        <f t="shared" si="16"/>
        <v>0</v>
      </c>
      <c r="W61" s="61">
        <f t="shared" si="17"/>
        <v>114.34</v>
      </c>
      <c r="X61" s="61">
        <f t="shared" si="18"/>
        <v>481.45180000000005</v>
      </c>
      <c r="Y61" s="61">
        <f t="shared" si="19"/>
        <v>1.8000000000029104E-3</v>
      </c>
    </row>
    <row r="62" spans="2:25" x14ac:dyDescent="0.25">
      <c r="B62" s="7" t="s">
        <v>25</v>
      </c>
      <c r="C62" s="8">
        <v>1.4</v>
      </c>
      <c r="D62" s="8">
        <v>102.55</v>
      </c>
      <c r="E62" s="8">
        <v>1.42</v>
      </c>
      <c r="F62" s="8">
        <v>96.82</v>
      </c>
      <c r="G62" s="8"/>
      <c r="H62" s="8"/>
      <c r="I62" s="2" t="s">
        <v>51</v>
      </c>
      <c r="J62" s="8">
        <v>1.47</v>
      </c>
      <c r="K62" s="8">
        <v>187.69</v>
      </c>
      <c r="L62" s="8"/>
      <c r="M62" s="8"/>
      <c r="N62" s="8">
        <v>114.34</v>
      </c>
      <c r="O62" s="8">
        <f t="shared" si="11"/>
        <v>501.4</v>
      </c>
      <c r="R62" s="61">
        <f t="shared" si="12"/>
        <v>102.55</v>
      </c>
      <c r="S62" s="61">
        <f t="shared" si="13"/>
        <v>96.815600000000003</v>
      </c>
      <c r="T62" s="61">
        <f t="shared" si="14"/>
        <v>0</v>
      </c>
      <c r="U62" s="61">
        <f t="shared" si="15"/>
        <v>187.68960000000001</v>
      </c>
      <c r="V62" s="61">
        <f t="shared" si="16"/>
        <v>0</v>
      </c>
      <c r="W62" s="61">
        <f t="shared" si="17"/>
        <v>114.34</v>
      </c>
      <c r="X62" s="61">
        <f t="shared" si="18"/>
        <v>501.39520000000005</v>
      </c>
      <c r="Y62" s="61">
        <f t="shared" si="19"/>
        <v>-4.7999999999319698E-3</v>
      </c>
    </row>
    <row r="63" spans="2:25" x14ac:dyDescent="0.25">
      <c r="B63" s="7" t="s">
        <v>26</v>
      </c>
      <c r="C63" s="8">
        <v>1.47</v>
      </c>
      <c r="D63" s="8">
        <v>107.68</v>
      </c>
      <c r="E63" s="8">
        <v>1.47</v>
      </c>
      <c r="F63" s="8">
        <v>100.22</v>
      </c>
      <c r="G63" s="8"/>
      <c r="H63" s="8"/>
      <c r="I63" s="2" t="s">
        <v>52</v>
      </c>
      <c r="J63" s="8">
        <v>1.03</v>
      </c>
      <c r="K63" s="8">
        <v>131.51</v>
      </c>
      <c r="L63" s="8"/>
      <c r="M63" s="8"/>
      <c r="N63" s="8">
        <v>114.34</v>
      </c>
      <c r="O63" s="8">
        <f t="shared" si="11"/>
        <v>453.75</v>
      </c>
      <c r="R63" s="61">
        <f t="shared" si="12"/>
        <v>107.67749999999999</v>
      </c>
      <c r="S63" s="61">
        <f t="shared" si="13"/>
        <v>100.22460000000001</v>
      </c>
      <c r="T63" s="61">
        <f t="shared" si="14"/>
        <v>0</v>
      </c>
      <c r="U63" s="61">
        <f t="shared" si="15"/>
        <v>131.5104</v>
      </c>
      <c r="V63" s="61">
        <f t="shared" si="16"/>
        <v>0</v>
      </c>
      <c r="W63" s="61">
        <f t="shared" si="17"/>
        <v>114.34</v>
      </c>
      <c r="X63" s="61">
        <f t="shared" si="18"/>
        <v>453.75250000000005</v>
      </c>
      <c r="Y63" s="61">
        <f t="shared" si="19"/>
        <v>2.5000000000545697E-3</v>
      </c>
    </row>
    <row r="64" spans="2:25" x14ac:dyDescent="0.25">
      <c r="B64" s="7" t="s">
        <v>28</v>
      </c>
      <c r="C64" s="8">
        <v>1.02</v>
      </c>
      <c r="D64" s="8">
        <v>74.72</v>
      </c>
      <c r="E64" s="8">
        <v>1.03</v>
      </c>
      <c r="F64" s="8">
        <v>70.23</v>
      </c>
      <c r="G64" s="8"/>
      <c r="H64" s="8"/>
      <c r="I64" s="2" t="s">
        <v>53</v>
      </c>
      <c r="J64" s="8">
        <v>1.27</v>
      </c>
      <c r="K64" s="8">
        <v>162.15</v>
      </c>
      <c r="L64" s="8"/>
      <c r="M64" s="8"/>
      <c r="N64" s="8">
        <v>114.34</v>
      </c>
      <c r="O64" s="8">
        <f t="shared" si="11"/>
        <v>421.44000000000005</v>
      </c>
      <c r="R64" s="61">
        <f t="shared" si="12"/>
        <v>74.715000000000003</v>
      </c>
      <c r="S64" s="61">
        <f t="shared" si="13"/>
        <v>70.225400000000008</v>
      </c>
      <c r="T64" s="61">
        <f t="shared" si="14"/>
        <v>0</v>
      </c>
      <c r="U64" s="61">
        <f t="shared" si="15"/>
        <v>162.15360000000001</v>
      </c>
      <c r="V64" s="61">
        <f t="shared" si="16"/>
        <v>0</v>
      </c>
      <c r="W64" s="61">
        <f t="shared" si="17"/>
        <v>114.34</v>
      </c>
      <c r="X64" s="61">
        <f t="shared" si="18"/>
        <v>421.43400000000008</v>
      </c>
      <c r="Y64" s="61">
        <f t="shared" si="19"/>
        <v>-5.9999999999718057E-3</v>
      </c>
    </row>
    <row r="65" spans="2:25" x14ac:dyDescent="0.25">
      <c r="B65" s="7" t="s">
        <v>29</v>
      </c>
      <c r="C65" s="2"/>
      <c r="D65" s="2"/>
      <c r="E65" s="2"/>
      <c r="F65" s="2"/>
      <c r="G65" s="2"/>
      <c r="H65" s="2"/>
      <c r="I65" s="2" t="s">
        <v>54</v>
      </c>
      <c r="J65" s="8">
        <v>0.89</v>
      </c>
      <c r="K65" s="8">
        <v>113.64</v>
      </c>
      <c r="L65" s="8"/>
      <c r="M65" s="8"/>
      <c r="N65" s="8">
        <v>114.34</v>
      </c>
      <c r="O65" s="8">
        <f t="shared" si="11"/>
        <v>227.98000000000002</v>
      </c>
      <c r="R65" s="61">
        <f t="shared" si="12"/>
        <v>0</v>
      </c>
      <c r="S65" s="61">
        <f t="shared" si="13"/>
        <v>0</v>
      </c>
      <c r="T65" s="61">
        <f t="shared" si="14"/>
        <v>0</v>
      </c>
      <c r="U65" s="61">
        <f t="shared" si="15"/>
        <v>113.63520000000001</v>
      </c>
      <c r="V65" s="61">
        <f t="shared" si="16"/>
        <v>0</v>
      </c>
      <c r="W65" s="61">
        <f t="shared" si="17"/>
        <v>114.34</v>
      </c>
      <c r="X65" s="61">
        <f t="shared" si="18"/>
        <v>227.97520000000003</v>
      </c>
      <c r="Y65" s="61">
        <f t="shared" si="19"/>
        <v>-4.7999999999888132E-3</v>
      </c>
    </row>
    <row r="66" spans="2:25" x14ac:dyDescent="0.25">
      <c r="B66" s="7" t="s">
        <v>30</v>
      </c>
      <c r="C66" s="2"/>
      <c r="D66" s="2"/>
      <c r="E66" s="2"/>
      <c r="F66" s="2"/>
      <c r="G66" s="2"/>
      <c r="H66" s="2"/>
      <c r="I66" s="2" t="s">
        <v>55</v>
      </c>
      <c r="J66" s="8">
        <v>0.98</v>
      </c>
      <c r="K66" s="8">
        <v>125.13</v>
      </c>
      <c r="L66" s="8"/>
      <c r="M66" s="8"/>
      <c r="N66" s="8">
        <v>114.34</v>
      </c>
      <c r="O66" s="8">
        <f t="shared" si="11"/>
        <v>239.47</v>
      </c>
      <c r="R66" s="61">
        <f t="shared" si="12"/>
        <v>0</v>
      </c>
      <c r="S66" s="61">
        <f t="shared" si="13"/>
        <v>0</v>
      </c>
      <c r="T66" s="61">
        <f t="shared" si="14"/>
        <v>0</v>
      </c>
      <c r="U66" s="61">
        <f t="shared" si="15"/>
        <v>125.1264</v>
      </c>
      <c r="V66" s="61">
        <f t="shared" si="16"/>
        <v>0</v>
      </c>
      <c r="W66" s="61">
        <f t="shared" si="17"/>
        <v>114.34</v>
      </c>
      <c r="X66" s="61">
        <f t="shared" si="18"/>
        <v>239.46640000000002</v>
      </c>
      <c r="Y66" s="61">
        <f t="shared" si="19"/>
        <v>-3.5999999999773991E-3</v>
      </c>
    </row>
    <row r="67" spans="2:25" x14ac:dyDescent="0.25">
      <c r="B67" s="7" t="s">
        <v>31</v>
      </c>
      <c r="C67" s="2"/>
      <c r="D67" s="2"/>
      <c r="E67" s="2"/>
      <c r="F67" s="2"/>
      <c r="G67" s="2"/>
      <c r="H67" s="2"/>
      <c r="I67" s="2" t="s">
        <v>56</v>
      </c>
      <c r="J67" s="8">
        <v>0.94</v>
      </c>
      <c r="K67" s="8">
        <v>120.02</v>
      </c>
      <c r="L67" s="8"/>
      <c r="M67" s="8"/>
      <c r="N67" s="8">
        <v>114.34</v>
      </c>
      <c r="O67" s="8">
        <f t="shared" si="11"/>
        <v>234.36</v>
      </c>
      <c r="R67" s="61">
        <f t="shared" si="12"/>
        <v>0</v>
      </c>
      <c r="S67" s="61">
        <f t="shared" si="13"/>
        <v>0</v>
      </c>
      <c r="T67" s="61">
        <f t="shared" si="14"/>
        <v>0</v>
      </c>
      <c r="U67" s="61">
        <f t="shared" si="15"/>
        <v>120.0192</v>
      </c>
      <c r="V67" s="61">
        <f t="shared" si="16"/>
        <v>0</v>
      </c>
      <c r="W67" s="61">
        <f t="shared" si="17"/>
        <v>114.34</v>
      </c>
      <c r="X67" s="61">
        <f t="shared" si="18"/>
        <v>234.35919999999999</v>
      </c>
      <c r="Y67" s="61">
        <f t="shared" si="19"/>
        <v>-8.0000000002655725E-4</v>
      </c>
    </row>
    <row r="68" spans="2:25" x14ac:dyDescent="0.25">
      <c r="B68" s="7" t="s">
        <v>37</v>
      </c>
      <c r="C68" s="2"/>
      <c r="D68" s="2"/>
      <c r="E68" s="2"/>
      <c r="F68" s="2"/>
      <c r="G68" s="2"/>
      <c r="H68" s="2"/>
      <c r="I68" s="2" t="s">
        <v>57</v>
      </c>
      <c r="J68" s="8">
        <v>1.48</v>
      </c>
      <c r="K68" s="8">
        <v>188.97</v>
      </c>
      <c r="L68" s="8"/>
      <c r="M68" s="8"/>
      <c r="N68" s="8">
        <v>114.34</v>
      </c>
      <c r="O68" s="8">
        <f t="shared" si="11"/>
        <v>303.31</v>
      </c>
      <c r="R68" s="61">
        <f t="shared" si="12"/>
        <v>0</v>
      </c>
      <c r="S68" s="61">
        <f t="shared" si="13"/>
        <v>0</v>
      </c>
      <c r="T68" s="61">
        <f t="shared" si="14"/>
        <v>0</v>
      </c>
      <c r="U68" s="61">
        <f t="shared" si="15"/>
        <v>188.96640000000002</v>
      </c>
      <c r="V68" s="61">
        <f t="shared" si="16"/>
        <v>0</v>
      </c>
      <c r="W68" s="61">
        <f t="shared" si="17"/>
        <v>114.34</v>
      </c>
      <c r="X68" s="61">
        <f t="shared" si="18"/>
        <v>303.30640000000005</v>
      </c>
      <c r="Y68" s="61">
        <f t="shared" si="19"/>
        <v>-3.5999999999489773E-3</v>
      </c>
    </row>
    <row r="69" spans="2:25" x14ac:dyDescent="0.25">
      <c r="B69" s="7" t="s">
        <v>32</v>
      </c>
      <c r="C69" s="2"/>
      <c r="D69" s="2"/>
      <c r="E69" s="2"/>
      <c r="F69" s="2"/>
      <c r="G69" s="2"/>
      <c r="H69" s="2"/>
      <c r="I69" s="2" t="s">
        <v>58</v>
      </c>
      <c r="J69" s="8">
        <v>1.39</v>
      </c>
      <c r="K69" s="8">
        <v>177.48</v>
      </c>
      <c r="L69" s="8"/>
      <c r="M69" s="8"/>
      <c r="N69" s="8">
        <v>114.34</v>
      </c>
      <c r="O69" s="8">
        <f t="shared" si="11"/>
        <v>291.82</v>
      </c>
      <c r="R69" s="61">
        <f t="shared" si="12"/>
        <v>0</v>
      </c>
      <c r="S69" s="61">
        <f t="shared" si="13"/>
        <v>0</v>
      </c>
      <c r="T69" s="61">
        <f t="shared" si="14"/>
        <v>0</v>
      </c>
      <c r="U69" s="61">
        <f t="shared" si="15"/>
        <v>177.4752</v>
      </c>
      <c r="V69" s="61">
        <f t="shared" si="16"/>
        <v>0</v>
      </c>
      <c r="W69" s="61">
        <f t="shared" si="17"/>
        <v>114.34</v>
      </c>
      <c r="X69" s="61">
        <f t="shared" si="18"/>
        <v>291.8152</v>
      </c>
      <c r="Y69" s="61">
        <f t="shared" si="19"/>
        <v>-4.7999999999888132E-3</v>
      </c>
    </row>
    <row r="70" spans="2:25" x14ac:dyDescent="0.25">
      <c r="B70" s="7" t="s">
        <v>33</v>
      </c>
      <c r="C70" s="2"/>
      <c r="D70" s="2"/>
      <c r="E70" s="2"/>
      <c r="F70" s="2"/>
      <c r="G70" s="2"/>
      <c r="H70" s="2"/>
      <c r="I70" s="2" t="s">
        <v>59</v>
      </c>
      <c r="J70" s="8">
        <v>1.1499999999999999</v>
      </c>
      <c r="K70" s="8">
        <v>146.83000000000001</v>
      </c>
      <c r="L70" s="8"/>
      <c r="M70" s="8"/>
      <c r="N70" s="8">
        <v>114.34</v>
      </c>
      <c r="O70" s="8">
        <f t="shared" si="11"/>
        <v>261.17</v>
      </c>
      <c r="R70" s="61">
        <f t="shared" si="12"/>
        <v>0</v>
      </c>
      <c r="S70" s="61">
        <f t="shared" si="13"/>
        <v>0</v>
      </c>
      <c r="T70" s="61">
        <f t="shared" si="14"/>
        <v>0</v>
      </c>
      <c r="U70" s="61">
        <f t="shared" si="15"/>
        <v>146.83199999999999</v>
      </c>
      <c r="V70" s="61">
        <f t="shared" si="16"/>
        <v>0</v>
      </c>
      <c r="W70" s="61">
        <f t="shared" si="17"/>
        <v>114.34</v>
      </c>
      <c r="X70" s="61">
        <f t="shared" si="18"/>
        <v>261.17200000000003</v>
      </c>
      <c r="Y70" s="61">
        <f t="shared" si="19"/>
        <v>2.0000000000095497E-3</v>
      </c>
    </row>
    <row r="71" spans="2:25" x14ac:dyDescent="0.25">
      <c r="B71" s="7" t="s">
        <v>34</v>
      </c>
      <c r="C71" s="2"/>
      <c r="D71" s="2"/>
      <c r="E71" s="2"/>
      <c r="F71" s="2"/>
      <c r="G71" s="2"/>
      <c r="H71" s="2"/>
      <c r="I71" s="2" t="s">
        <v>60</v>
      </c>
      <c r="J71" s="8">
        <v>0.67</v>
      </c>
      <c r="K71" s="8">
        <v>85.55</v>
      </c>
      <c r="L71" s="8"/>
      <c r="M71" s="8"/>
      <c r="N71" s="8">
        <v>114.34</v>
      </c>
      <c r="O71" s="8">
        <f t="shared" si="11"/>
        <v>199.89</v>
      </c>
      <c r="R71" s="61">
        <f t="shared" si="12"/>
        <v>0</v>
      </c>
      <c r="S71" s="61">
        <f t="shared" si="13"/>
        <v>0</v>
      </c>
      <c r="T71" s="61">
        <f t="shared" si="14"/>
        <v>0</v>
      </c>
      <c r="U71" s="61">
        <f t="shared" si="15"/>
        <v>85.545600000000007</v>
      </c>
      <c r="V71" s="61">
        <f t="shared" si="16"/>
        <v>0</v>
      </c>
      <c r="W71" s="61">
        <f t="shared" si="17"/>
        <v>114.34</v>
      </c>
      <c r="X71" s="61">
        <f t="shared" si="18"/>
        <v>199.88560000000001</v>
      </c>
      <c r="Y71" s="61">
        <f t="shared" si="19"/>
        <v>-4.3999999999755346E-3</v>
      </c>
    </row>
    <row r="72" spans="2:25" x14ac:dyDescent="0.25">
      <c r="B72" s="7" t="s">
        <v>35</v>
      </c>
      <c r="C72" s="2"/>
      <c r="D72" s="2"/>
      <c r="E72" s="2"/>
      <c r="F72" s="2"/>
      <c r="G72" s="2"/>
      <c r="H72" s="2"/>
      <c r="I72" s="2" t="s">
        <v>61</v>
      </c>
      <c r="J72" s="8">
        <v>1.07</v>
      </c>
      <c r="K72" s="8">
        <v>136.62</v>
      </c>
      <c r="L72" s="8"/>
      <c r="M72" s="8"/>
      <c r="N72" s="8">
        <v>114.34</v>
      </c>
      <c r="O72" s="8">
        <f t="shared" si="11"/>
        <v>250.96</v>
      </c>
      <c r="R72" s="61">
        <f t="shared" si="12"/>
        <v>0</v>
      </c>
      <c r="S72" s="61">
        <f t="shared" si="13"/>
        <v>0</v>
      </c>
      <c r="T72" s="61">
        <f t="shared" si="14"/>
        <v>0</v>
      </c>
      <c r="U72" s="61">
        <f t="shared" si="15"/>
        <v>136.61760000000001</v>
      </c>
      <c r="V72" s="61">
        <f t="shared" si="16"/>
        <v>0</v>
      </c>
      <c r="W72" s="61">
        <f t="shared" si="17"/>
        <v>114.34</v>
      </c>
      <c r="X72" s="61">
        <f t="shared" si="18"/>
        <v>250.95760000000001</v>
      </c>
      <c r="Y72" s="61">
        <f t="shared" si="19"/>
        <v>-2.3999999999944066E-3</v>
      </c>
    </row>
    <row r="73" spans="2:25" x14ac:dyDescent="0.25">
      <c r="B73" s="7" t="s">
        <v>36</v>
      </c>
      <c r="C73" s="2"/>
      <c r="D73" s="2"/>
      <c r="E73" s="2"/>
      <c r="F73" s="2"/>
      <c r="G73" s="2"/>
      <c r="H73" s="2"/>
      <c r="I73" s="2" t="s">
        <v>62</v>
      </c>
      <c r="J73" s="8">
        <v>0.62</v>
      </c>
      <c r="K73" s="8">
        <v>79.19</v>
      </c>
      <c r="L73" s="8"/>
      <c r="M73" s="8"/>
      <c r="N73" s="8">
        <v>114.34</v>
      </c>
      <c r="O73" s="8">
        <f t="shared" si="11"/>
        <v>193.53</v>
      </c>
      <c r="R73" s="61">
        <f t="shared" si="12"/>
        <v>0</v>
      </c>
      <c r="S73" s="61">
        <f t="shared" si="13"/>
        <v>0</v>
      </c>
      <c r="T73" s="61">
        <f t="shared" si="14"/>
        <v>0</v>
      </c>
      <c r="U73" s="61">
        <f t="shared" si="15"/>
        <v>79.161600000000007</v>
      </c>
      <c r="V73" s="61">
        <f t="shared" si="16"/>
        <v>0</v>
      </c>
      <c r="W73" s="61">
        <f t="shared" si="17"/>
        <v>114.34</v>
      </c>
      <c r="X73" s="61">
        <f t="shared" si="18"/>
        <v>193.5016</v>
      </c>
      <c r="Y73" s="61">
        <f t="shared" si="19"/>
        <v>-2.8400000000004866E-2</v>
      </c>
    </row>
    <row r="75" spans="2:25" x14ac:dyDescent="0.25">
      <c r="B75" s="1" t="s">
        <v>293</v>
      </c>
    </row>
    <row r="76" spans="2:25" x14ac:dyDescent="0.25">
      <c r="B76" s="6" t="s">
        <v>290</v>
      </c>
      <c r="C76" s="9">
        <v>0.72</v>
      </c>
    </row>
    <row r="77" spans="2:25" x14ac:dyDescent="0.25">
      <c r="B77" s="6" t="s">
        <v>287</v>
      </c>
      <c r="C77" s="9">
        <v>0.71099999999999997</v>
      </c>
    </row>
    <row r="78" spans="2:25" x14ac:dyDescent="0.25">
      <c r="B78" s="6" t="s">
        <v>280</v>
      </c>
      <c r="C78" s="9">
        <v>0.70799999999999996</v>
      </c>
    </row>
    <row r="79" spans="2:25" x14ac:dyDescent="0.25">
      <c r="B79" s="6" t="s">
        <v>278</v>
      </c>
      <c r="C79" s="9">
        <v>0.70399999999999996</v>
      </c>
    </row>
    <row r="80" spans="2:25" x14ac:dyDescent="0.25">
      <c r="B80" s="6" t="s">
        <v>274</v>
      </c>
      <c r="C80" s="9">
        <v>0.71299999999999997</v>
      </c>
    </row>
    <row r="81" spans="2:3" x14ac:dyDescent="0.25">
      <c r="B81" s="6" t="s">
        <v>64</v>
      </c>
      <c r="C81" s="9">
        <v>0.70899999999999996</v>
      </c>
    </row>
    <row r="82" spans="2:3" x14ac:dyDescent="0.25">
      <c r="B82" s="6" t="s">
        <v>262</v>
      </c>
      <c r="C82" s="9">
        <v>0.70499999999999996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56"/>
  <sheetViews>
    <sheetView workbookViewId="0">
      <pane ySplit="1" topLeftCell="A2" activePane="bottomLeft" state="frozen"/>
      <selection activeCell="I12" sqref="I12:I38"/>
      <selection pane="bottomLeft" activeCell="D51" sqref="D51"/>
    </sheetView>
  </sheetViews>
  <sheetFormatPr defaultRowHeight="15" x14ac:dyDescent="0.25"/>
  <cols>
    <col min="1" max="1" width="37" style="15" bestFit="1" customWidth="1"/>
    <col min="2" max="2" width="6" style="15" customWidth="1"/>
    <col min="3" max="3" width="50.7109375" style="15" bestFit="1" customWidth="1"/>
    <col min="4" max="4" width="9.140625" style="15"/>
    <col min="5" max="6" width="8" style="15" bestFit="1" customWidth="1"/>
    <col min="7" max="10" width="8" bestFit="1" customWidth="1"/>
  </cols>
  <sheetData>
    <row r="1" spans="1:11" x14ac:dyDescent="0.25">
      <c r="A1" s="13" t="s">
        <v>201</v>
      </c>
      <c r="B1" s="13" t="s">
        <v>200</v>
      </c>
      <c r="C1" s="14" t="s">
        <v>201</v>
      </c>
      <c r="D1" s="13" t="s">
        <v>66</v>
      </c>
      <c r="E1" s="13" t="s">
        <v>294</v>
      </c>
      <c r="F1" s="13" t="s">
        <v>282</v>
      </c>
      <c r="G1" s="13" t="s">
        <v>279</v>
      </c>
      <c r="H1" s="13" t="s">
        <v>277</v>
      </c>
      <c r="I1" s="13" t="s">
        <v>276</v>
      </c>
      <c r="J1" s="13" t="s">
        <v>283</v>
      </c>
      <c r="K1" s="13" t="s">
        <v>284</v>
      </c>
    </row>
    <row r="2" spans="1:11" x14ac:dyDescent="0.25">
      <c r="A2" s="15" t="s">
        <v>202</v>
      </c>
      <c r="B2" s="15">
        <v>1</v>
      </c>
      <c r="C2" s="15" t="s">
        <v>202</v>
      </c>
      <c r="D2" s="17">
        <v>0.64710000000000001</v>
      </c>
      <c r="E2" s="17">
        <v>0.6603</v>
      </c>
      <c r="F2" s="16">
        <v>0.66210000000000002</v>
      </c>
      <c r="G2" s="16">
        <v>0.65390000000000004</v>
      </c>
      <c r="H2" s="16">
        <v>0.6724</v>
      </c>
      <c r="I2" s="16">
        <v>0.66420000000000001</v>
      </c>
      <c r="J2" s="16">
        <v>0.67310000000000003</v>
      </c>
      <c r="K2" s="16">
        <v>0.68279999999999996</v>
      </c>
    </row>
    <row r="3" spans="1:11" x14ac:dyDescent="0.25">
      <c r="A3" s="15" t="s">
        <v>203</v>
      </c>
      <c r="B3" s="15">
        <v>2</v>
      </c>
      <c r="C3" s="15" t="s">
        <v>203</v>
      </c>
      <c r="D3" s="17">
        <v>1.1395999999999999</v>
      </c>
      <c r="E3" s="17">
        <v>1.1875</v>
      </c>
      <c r="F3" s="16">
        <v>1.2055</v>
      </c>
      <c r="G3" s="16">
        <v>1.2298</v>
      </c>
      <c r="H3" s="16">
        <v>1.2496</v>
      </c>
      <c r="I3" s="16">
        <v>1.2688000000000001</v>
      </c>
      <c r="J3" s="16">
        <v>1.1963000000000001</v>
      </c>
      <c r="K3" s="16">
        <v>1.3443000000000001</v>
      </c>
    </row>
    <row r="4" spans="1:11" x14ac:dyDescent="0.25">
      <c r="A4" s="15" t="s">
        <v>204</v>
      </c>
      <c r="B4" s="15">
        <v>3</v>
      </c>
      <c r="C4" s="15" t="s">
        <v>204</v>
      </c>
      <c r="D4" s="17">
        <v>0.87350000000000005</v>
      </c>
      <c r="E4" s="17">
        <v>0.80690000000000006</v>
      </c>
      <c r="F4" s="16">
        <v>0.85940000000000005</v>
      </c>
      <c r="G4" s="16">
        <v>0.82499999999999996</v>
      </c>
      <c r="H4" s="16">
        <v>0.87560000000000004</v>
      </c>
      <c r="I4" s="16">
        <v>0.91690000000000005</v>
      </c>
      <c r="J4" s="16">
        <v>0.91810000000000003</v>
      </c>
      <c r="K4" s="16">
        <v>0.89019999999999999</v>
      </c>
    </row>
    <row r="5" spans="1:11" x14ac:dyDescent="0.25">
      <c r="A5" s="15" t="s">
        <v>205</v>
      </c>
      <c r="B5" s="15">
        <v>4</v>
      </c>
      <c r="C5" s="15" t="s">
        <v>205</v>
      </c>
      <c r="D5" s="17">
        <v>0.71850000000000003</v>
      </c>
      <c r="E5" s="17">
        <v>0.72730000000000006</v>
      </c>
      <c r="F5" s="16">
        <v>0.72550000000000003</v>
      </c>
      <c r="G5" s="16">
        <v>0.71109999999999995</v>
      </c>
      <c r="H5" s="16">
        <v>0.71020000000000005</v>
      </c>
      <c r="I5" s="16">
        <v>0.7278</v>
      </c>
      <c r="J5" s="16">
        <v>0.70210000000000006</v>
      </c>
      <c r="K5" s="16">
        <v>0.70789999999999997</v>
      </c>
    </row>
    <row r="6" spans="1:11" x14ac:dyDescent="0.25">
      <c r="A6" s="15" t="s">
        <v>206</v>
      </c>
      <c r="B6" s="15">
        <v>5</v>
      </c>
      <c r="C6" s="15" t="s">
        <v>206</v>
      </c>
      <c r="D6" s="17">
        <v>1.2602</v>
      </c>
      <c r="E6" s="17">
        <v>1.2645</v>
      </c>
      <c r="F6" s="16">
        <v>1.2873000000000001</v>
      </c>
      <c r="G6" s="16">
        <v>1.3028999999999999</v>
      </c>
      <c r="H6" s="16">
        <v>1.3052999999999999</v>
      </c>
      <c r="I6" s="16">
        <v>1.2890000000000001</v>
      </c>
      <c r="J6" s="16">
        <v>1.2783</v>
      </c>
      <c r="K6" s="16">
        <v>1.3002</v>
      </c>
    </row>
    <row r="7" spans="1:11" x14ac:dyDescent="0.25">
      <c r="A7" s="15" t="s">
        <v>207</v>
      </c>
      <c r="B7" s="15">
        <v>6</v>
      </c>
      <c r="C7" s="15" t="s">
        <v>207</v>
      </c>
      <c r="D7" s="17">
        <v>1.0278</v>
      </c>
      <c r="E7" s="17">
        <v>1.0474000000000001</v>
      </c>
      <c r="F7" s="16">
        <v>1.0297000000000001</v>
      </c>
      <c r="G7" s="16">
        <v>0.99790000000000001</v>
      </c>
      <c r="H7" s="16">
        <v>1.0085999999999999</v>
      </c>
      <c r="I7" s="16">
        <v>1.0081</v>
      </c>
      <c r="J7" s="16">
        <v>1.0075000000000001</v>
      </c>
      <c r="K7" s="16">
        <v>1.012</v>
      </c>
    </row>
    <row r="8" spans="1:11" x14ac:dyDescent="0.25">
      <c r="A8" s="15" t="s">
        <v>208</v>
      </c>
      <c r="B8" s="15">
        <v>7</v>
      </c>
      <c r="C8" s="15" t="s">
        <v>208</v>
      </c>
      <c r="D8" s="17">
        <v>0.91300000000000003</v>
      </c>
      <c r="E8" s="17">
        <v>1.0075000000000001</v>
      </c>
      <c r="F8" s="16">
        <v>0.96299999999999997</v>
      </c>
      <c r="G8" s="16">
        <v>0.97909999999999997</v>
      </c>
      <c r="H8" s="16">
        <v>1.0004</v>
      </c>
      <c r="I8" s="16">
        <v>1.0301</v>
      </c>
      <c r="J8" s="16">
        <v>1.0775000000000001</v>
      </c>
      <c r="K8" s="16">
        <v>1.0961000000000001</v>
      </c>
    </row>
    <row r="9" spans="1:11" x14ac:dyDescent="0.25">
      <c r="A9" s="15" t="s">
        <v>209</v>
      </c>
      <c r="B9" s="15">
        <v>10</v>
      </c>
      <c r="C9" s="15" t="s">
        <v>209</v>
      </c>
      <c r="D9" s="17">
        <v>0.85229999999999995</v>
      </c>
      <c r="E9" s="17">
        <v>0.82680000000000009</v>
      </c>
      <c r="F9" s="16">
        <v>0.81840000000000002</v>
      </c>
      <c r="G9" s="16">
        <v>0.81279999999999997</v>
      </c>
      <c r="H9" s="16">
        <v>0.82589999999999997</v>
      </c>
      <c r="I9" s="16">
        <v>0.81900000000000006</v>
      </c>
      <c r="J9" s="16">
        <v>0.82090000000000007</v>
      </c>
      <c r="K9" s="16">
        <v>0.82420000000000004</v>
      </c>
    </row>
    <row r="10" spans="1:11" x14ac:dyDescent="0.25">
      <c r="A10" s="15" t="s">
        <v>210</v>
      </c>
      <c r="B10" s="15">
        <v>11</v>
      </c>
      <c r="C10" s="15" t="s">
        <v>210</v>
      </c>
      <c r="D10" s="17">
        <v>0.75560000000000005</v>
      </c>
      <c r="E10" s="17">
        <v>0.76780000000000004</v>
      </c>
      <c r="F10" s="16">
        <v>0.74909999999999999</v>
      </c>
      <c r="G10" s="16">
        <v>0.75370000000000004</v>
      </c>
      <c r="H10" s="16">
        <v>0.71809999999999996</v>
      </c>
      <c r="I10" s="16">
        <v>0.74040000000000006</v>
      </c>
      <c r="J10" s="16">
        <v>0.73250000000000004</v>
      </c>
      <c r="K10" s="16">
        <v>0.73550000000000004</v>
      </c>
    </row>
    <row r="11" spans="1:11" x14ac:dyDescent="0.25">
      <c r="A11" s="15" t="s">
        <v>211</v>
      </c>
      <c r="B11" s="15">
        <v>12</v>
      </c>
      <c r="C11" s="15" t="s">
        <v>211</v>
      </c>
      <c r="D11" s="17">
        <v>1.1035999999999999</v>
      </c>
      <c r="E11" s="17">
        <v>1.1520000000000001</v>
      </c>
      <c r="F11" s="16">
        <v>1.2310000000000001</v>
      </c>
      <c r="G11" s="16">
        <v>1.2242</v>
      </c>
      <c r="H11" s="16">
        <v>1.2584</v>
      </c>
      <c r="I11" s="16">
        <v>1.2238</v>
      </c>
      <c r="J11" s="16">
        <v>1.1748000000000001</v>
      </c>
      <c r="K11" s="16">
        <v>1.1420999999999999</v>
      </c>
    </row>
    <row r="12" spans="1:11" x14ac:dyDescent="0.25">
      <c r="A12" s="15" t="s">
        <v>212</v>
      </c>
      <c r="B12" s="15">
        <v>13</v>
      </c>
      <c r="C12" s="15" t="s">
        <v>212</v>
      </c>
      <c r="D12" s="17">
        <v>0.6925</v>
      </c>
      <c r="E12" s="17">
        <v>0.75990000000000002</v>
      </c>
      <c r="F12" s="16">
        <v>0.77380000000000004</v>
      </c>
      <c r="G12" s="16">
        <v>0.77239999999999998</v>
      </c>
      <c r="H12" s="16">
        <v>0.78259999999999996</v>
      </c>
      <c r="I12" s="16">
        <v>0.80090000000000006</v>
      </c>
      <c r="J12" s="16">
        <v>0.79530000000000001</v>
      </c>
      <c r="K12" s="16">
        <v>0.75819999999999999</v>
      </c>
    </row>
    <row r="13" spans="1:11" x14ac:dyDescent="0.25">
      <c r="A13" s="15" t="s">
        <v>213</v>
      </c>
      <c r="B13" s="15">
        <v>14</v>
      </c>
      <c r="C13" s="15" t="s">
        <v>213</v>
      </c>
      <c r="D13" s="17">
        <v>0.81879999999999997</v>
      </c>
      <c r="E13" s="17">
        <v>0.83250000000000002</v>
      </c>
      <c r="F13" s="16">
        <v>0.84330000000000005</v>
      </c>
      <c r="G13" s="16">
        <v>0.84009999999999996</v>
      </c>
      <c r="H13" s="16">
        <v>0.82969999999999999</v>
      </c>
      <c r="I13" s="16">
        <v>0.82420000000000004</v>
      </c>
      <c r="J13" s="16">
        <v>0.84910000000000008</v>
      </c>
      <c r="K13" s="16">
        <v>0.8508</v>
      </c>
    </row>
    <row r="14" spans="1:11" x14ac:dyDescent="0.25">
      <c r="A14" s="15" t="s">
        <v>214</v>
      </c>
      <c r="B14" s="15">
        <v>15</v>
      </c>
      <c r="C14" s="15" t="s">
        <v>214</v>
      </c>
      <c r="D14" s="17">
        <v>0.86570000000000003</v>
      </c>
      <c r="E14" s="17">
        <v>0.8347</v>
      </c>
      <c r="F14" s="16">
        <v>0.83799999999999997</v>
      </c>
      <c r="G14" s="16">
        <v>0.85940000000000005</v>
      </c>
      <c r="H14" s="16">
        <v>0.83540000000000003</v>
      </c>
      <c r="I14" s="16">
        <v>0.83190000000000008</v>
      </c>
      <c r="J14" s="16">
        <v>0.82369999999999999</v>
      </c>
      <c r="K14" s="16">
        <v>0.80879999999999996</v>
      </c>
    </row>
    <row r="15" spans="1:11" x14ac:dyDescent="0.25">
      <c r="A15" s="15" t="s">
        <v>215</v>
      </c>
      <c r="B15" s="15">
        <v>16</v>
      </c>
      <c r="C15" s="15" t="s">
        <v>215</v>
      </c>
      <c r="D15" s="17">
        <v>0.80520000000000003</v>
      </c>
      <c r="E15" s="17">
        <v>0.78150000000000008</v>
      </c>
      <c r="F15" s="16">
        <v>0.7954</v>
      </c>
      <c r="G15" s="16">
        <v>0.81710000000000005</v>
      </c>
      <c r="H15" s="16">
        <v>0.84030000000000005</v>
      </c>
      <c r="I15" s="16">
        <v>0.84020000000000006</v>
      </c>
      <c r="J15" s="16">
        <v>0.83420000000000005</v>
      </c>
      <c r="K15" s="16">
        <v>0.83599999999999997</v>
      </c>
    </row>
    <row r="16" spans="1:11" x14ac:dyDescent="0.25">
      <c r="A16" s="15" t="s">
        <v>216</v>
      </c>
      <c r="B16" s="15">
        <v>17</v>
      </c>
      <c r="C16" s="15" t="s">
        <v>216</v>
      </c>
      <c r="D16" s="17">
        <v>0.81830000000000003</v>
      </c>
      <c r="E16" s="17">
        <v>0.78670000000000007</v>
      </c>
      <c r="F16" s="16">
        <v>0.79559999999999997</v>
      </c>
      <c r="G16" s="16">
        <v>0.78849999999999998</v>
      </c>
      <c r="H16" s="16">
        <v>0.77759999999999996</v>
      </c>
      <c r="I16" s="16">
        <v>0.76670000000000005</v>
      </c>
      <c r="J16" s="16">
        <v>0.77810000000000001</v>
      </c>
      <c r="K16" s="16">
        <v>0.77259999999999995</v>
      </c>
    </row>
    <row r="17" spans="1:11" x14ac:dyDescent="0.25">
      <c r="A17" s="15" t="s">
        <v>217</v>
      </c>
      <c r="B17" s="15">
        <v>18</v>
      </c>
      <c r="C17" s="15" t="s">
        <v>217</v>
      </c>
      <c r="D17" s="17">
        <v>0.81520000000000004</v>
      </c>
      <c r="E17" s="17">
        <v>0.7863</v>
      </c>
      <c r="F17" s="16">
        <v>0.79369999999999996</v>
      </c>
      <c r="G17" s="16">
        <v>0.79710000000000003</v>
      </c>
      <c r="H17" s="16">
        <v>0.79149999999999998</v>
      </c>
      <c r="I17" s="16">
        <v>0.79810000000000003</v>
      </c>
      <c r="J17" s="16">
        <v>0.79400000000000004</v>
      </c>
      <c r="K17" s="16">
        <v>0.78249999999999997</v>
      </c>
    </row>
    <row r="18" spans="1:11" x14ac:dyDescent="0.25">
      <c r="A18" s="15" t="s">
        <v>218</v>
      </c>
      <c r="B18" s="15">
        <v>19</v>
      </c>
      <c r="C18" s="15" t="s">
        <v>218</v>
      </c>
      <c r="D18" s="17">
        <v>0.67889999999999995</v>
      </c>
      <c r="E18" s="17">
        <v>0.67649999999999999</v>
      </c>
      <c r="F18" s="16">
        <v>0.69430000000000003</v>
      </c>
      <c r="G18" s="16">
        <v>0.69499999999999995</v>
      </c>
      <c r="H18" s="16">
        <v>0.69689999999999996</v>
      </c>
      <c r="I18" s="16">
        <v>0.6956</v>
      </c>
      <c r="J18" s="16">
        <v>0.70120000000000005</v>
      </c>
      <c r="K18" s="16">
        <v>0.69720000000000004</v>
      </c>
    </row>
    <row r="19" spans="1:11" x14ac:dyDescent="0.25">
      <c r="A19" s="15" t="s">
        <v>219</v>
      </c>
      <c r="B19" s="15">
        <v>20</v>
      </c>
      <c r="C19" s="15" t="s">
        <v>219</v>
      </c>
      <c r="D19" s="17">
        <v>0.8236</v>
      </c>
      <c r="E19" s="17">
        <v>0.82810000000000006</v>
      </c>
      <c r="F19" s="16">
        <v>0.83620000000000005</v>
      </c>
      <c r="G19" s="16">
        <v>0.82820000000000005</v>
      </c>
      <c r="H19" s="16">
        <v>0.84360000000000002</v>
      </c>
      <c r="I19" s="16">
        <v>0.84110000000000007</v>
      </c>
      <c r="J19" s="16">
        <v>0.86170000000000002</v>
      </c>
      <c r="K19" s="16">
        <v>0.8468</v>
      </c>
    </row>
    <row r="20" spans="1:11" x14ac:dyDescent="0.25">
      <c r="A20" s="15" t="s">
        <v>220</v>
      </c>
      <c r="B20" s="15">
        <v>21</v>
      </c>
      <c r="C20" s="15" t="s">
        <v>220</v>
      </c>
      <c r="D20" s="17">
        <v>0.8679</v>
      </c>
      <c r="E20" s="17">
        <v>0.82810000000000006</v>
      </c>
      <c r="F20" s="16">
        <v>0.85389999999999999</v>
      </c>
      <c r="G20" s="16">
        <v>0.85119999999999996</v>
      </c>
      <c r="H20" s="16">
        <v>0.86260000000000003</v>
      </c>
      <c r="I20" s="16">
        <v>0.88460000000000005</v>
      </c>
      <c r="J20" s="16">
        <v>0.88830000000000009</v>
      </c>
      <c r="K20" s="16">
        <v>0.88929999999999998</v>
      </c>
    </row>
    <row r="21" spans="1:11" x14ac:dyDescent="0.25">
      <c r="A21" s="15" t="s">
        <v>74</v>
      </c>
      <c r="B21" s="15">
        <v>22</v>
      </c>
      <c r="C21" s="15" t="s">
        <v>74</v>
      </c>
      <c r="D21" s="17">
        <v>1.0285</v>
      </c>
      <c r="E21" s="17">
        <v>1.26</v>
      </c>
      <c r="F21" s="16">
        <v>1.3264</v>
      </c>
      <c r="G21" s="16">
        <v>1.3117000000000001</v>
      </c>
      <c r="H21" s="16">
        <v>1.2928999999999999</v>
      </c>
      <c r="I21" s="16">
        <v>1.1059000000000001</v>
      </c>
      <c r="J21" s="16">
        <v>1.0760000000000001</v>
      </c>
      <c r="K21" s="16">
        <v>1.1066</v>
      </c>
    </row>
    <row r="22" spans="1:11" x14ac:dyDescent="0.25">
      <c r="A22" s="15" t="s">
        <v>221</v>
      </c>
      <c r="B22" s="15">
        <v>23</v>
      </c>
      <c r="C22" s="15" t="s">
        <v>221</v>
      </c>
      <c r="D22" s="17">
        <v>0.84209999999999996</v>
      </c>
      <c r="E22" s="17">
        <v>0.82969999999999999</v>
      </c>
      <c r="F22" s="16">
        <v>0.82550000000000001</v>
      </c>
      <c r="G22" s="16">
        <v>0.83919999999999995</v>
      </c>
      <c r="H22" s="16">
        <v>0.84819999999999995</v>
      </c>
      <c r="I22" s="16">
        <v>0.83679999999999999</v>
      </c>
      <c r="J22" s="16">
        <v>0.84300000000000008</v>
      </c>
      <c r="K22" s="16">
        <v>0.84130000000000005</v>
      </c>
    </row>
    <row r="23" spans="1:11" x14ac:dyDescent="0.25">
      <c r="A23" s="15" t="s">
        <v>222</v>
      </c>
      <c r="B23" s="15">
        <v>24</v>
      </c>
      <c r="C23" s="15" t="s">
        <v>222</v>
      </c>
      <c r="D23" s="17">
        <v>0.89749999999999996</v>
      </c>
      <c r="E23" s="17">
        <v>0.90570000000000006</v>
      </c>
      <c r="F23" s="16">
        <v>0.89680000000000004</v>
      </c>
      <c r="G23" s="16">
        <v>0.90690000000000004</v>
      </c>
      <c r="H23" s="16">
        <v>0.90849999999999997</v>
      </c>
      <c r="I23" s="16">
        <v>0.90450000000000008</v>
      </c>
      <c r="J23" s="16">
        <v>0.90080000000000005</v>
      </c>
      <c r="K23" s="16">
        <v>0.90010000000000001</v>
      </c>
    </row>
    <row r="24" spans="1:11" x14ac:dyDescent="0.25">
      <c r="A24" s="15" t="s">
        <v>223</v>
      </c>
      <c r="B24" s="15">
        <v>25</v>
      </c>
      <c r="C24" s="15" t="s">
        <v>223</v>
      </c>
      <c r="D24" s="17">
        <v>0.72399999999999998</v>
      </c>
      <c r="E24" s="17">
        <v>0.69420000000000004</v>
      </c>
      <c r="F24" s="16">
        <v>0.72089999999999999</v>
      </c>
      <c r="G24" s="16">
        <v>0.73019999999999996</v>
      </c>
      <c r="H24" s="16">
        <v>0.74639999999999995</v>
      </c>
      <c r="I24" s="16">
        <v>0.74970000000000003</v>
      </c>
      <c r="J24" s="16">
        <v>0.73199999999999998</v>
      </c>
      <c r="K24" s="16">
        <v>0.74809999999999999</v>
      </c>
    </row>
    <row r="25" spans="1:11" x14ac:dyDescent="0.25">
      <c r="A25" s="15" t="s">
        <v>224</v>
      </c>
      <c r="B25" s="15">
        <v>26</v>
      </c>
      <c r="C25" s="15" t="s">
        <v>224</v>
      </c>
      <c r="D25" s="17">
        <v>0.78869999999999996</v>
      </c>
      <c r="E25" s="17">
        <v>0.7611</v>
      </c>
      <c r="F25" s="16">
        <v>0.78610000000000002</v>
      </c>
      <c r="G25" s="16">
        <v>0.76959999999999995</v>
      </c>
      <c r="H25" s="16">
        <v>0.77780000000000005</v>
      </c>
      <c r="I25" s="16">
        <v>0.78550000000000009</v>
      </c>
      <c r="J25" s="16">
        <v>0.77750000000000008</v>
      </c>
      <c r="K25" s="16">
        <v>0.77549999999999997</v>
      </c>
    </row>
    <row r="26" spans="1:11" x14ac:dyDescent="0.25">
      <c r="A26" s="15" t="s">
        <v>225</v>
      </c>
      <c r="B26" s="15">
        <v>27</v>
      </c>
      <c r="C26" s="15" t="s">
        <v>225</v>
      </c>
      <c r="D26" s="17">
        <v>0.88349999999999995</v>
      </c>
      <c r="E26" s="17">
        <v>0.82730000000000004</v>
      </c>
      <c r="F26" s="16">
        <v>0.83640000000000003</v>
      </c>
      <c r="G26" s="16">
        <v>0.89959999999999996</v>
      </c>
      <c r="H26" s="16">
        <v>0.8569</v>
      </c>
      <c r="I26" s="16">
        <v>0.86920000000000008</v>
      </c>
      <c r="J26" s="16">
        <v>0.83210000000000006</v>
      </c>
      <c r="K26" s="16">
        <v>0.89529999999999998</v>
      </c>
    </row>
    <row r="27" spans="1:11" x14ac:dyDescent="0.25">
      <c r="A27" s="15" t="s">
        <v>226</v>
      </c>
      <c r="B27" s="15">
        <v>28</v>
      </c>
      <c r="C27" s="15" t="s">
        <v>226</v>
      </c>
      <c r="D27" s="17">
        <v>0.8639</v>
      </c>
      <c r="E27" s="17">
        <v>0.85750000000000004</v>
      </c>
      <c r="F27" s="16">
        <v>0.88070000000000004</v>
      </c>
      <c r="G27" s="16">
        <v>0.86609999999999998</v>
      </c>
      <c r="H27" s="16">
        <v>0.88759999999999994</v>
      </c>
      <c r="I27" s="16">
        <v>0.89340000000000008</v>
      </c>
      <c r="J27" s="16">
        <v>0.88800000000000001</v>
      </c>
      <c r="K27" s="16">
        <v>0.88439999999999996</v>
      </c>
    </row>
    <row r="28" spans="1:11" x14ac:dyDescent="0.25">
      <c r="A28" s="15" t="s">
        <v>227</v>
      </c>
      <c r="B28" s="15">
        <v>29</v>
      </c>
      <c r="C28" s="15" t="s">
        <v>227</v>
      </c>
      <c r="D28" s="17">
        <v>1.0343</v>
      </c>
      <c r="E28" s="17">
        <v>1.071</v>
      </c>
      <c r="F28" s="16">
        <v>1.081</v>
      </c>
      <c r="G28" s="16">
        <v>1.0429999999999999</v>
      </c>
      <c r="H28" s="16">
        <v>1.0647</v>
      </c>
      <c r="I28" s="16">
        <v>0.89880000000000004</v>
      </c>
      <c r="J28" s="16">
        <v>0.88650000000000007</v>
      </c>
      <c r="K28" s="16">
        <v>0.78900000000000003</v>
      </c>
    </row>
    <row r="29" spans="1:11" x14ac:dyDescent="0.25">
      <c r="A29" s="15" t="s">
        <v>228</v>
      </c>
      <c r="B29" s="15">
        <v>30</v>
      </c>
      <c r="C29" s="15" t="s">
        <v>228</v>
      </c>
      <c r="D29" s="17">
        <v>0.99250000000000005</v>
      </c>
      <c r="E29" s="17">
        <v>0.9798</v>
      </c>
      <c r="F29" s="16">
        <v>1.0293000000000001</v>
      </c>
      <c r="G29" s="16">
        <v>1.0077</v>
      </c>
      <c r="H29" s="16">
        <v>1.0141</v>
      </c>
      <c r="I29" s="16">
        <v>1.0057</v>
      </c>
      <c r="J29" s="16">
        <v>1.0357000000000001</v>
      </c>
      <c r="K29" s="16">
        <v>1.0632999999999999</v>
      </c>
    </row>
    <row r="30" spans="1:11" x14ac:dyDescent="0.25">
      <c r="A30" s="15" t="s">
        <v>229</v>
      </c>
      <c r="B30" s="15">
        <v>32</v>
      </c>
      <c r="C30" s="15" t="s">
        <v>229</v>
      </c>
      <c r="D30" s="17">
        <v>0.92679999999999996</v>
      </c>
      <c r="E30" s="17">
        <v>0.8397</v>
      </c>
      <c r="F30" s="16">
        <v>0.8548</v>
      </c>
      <c r="G30" s="16">
        <v>0.87529999999999997</v>
      </c>
      <c r="H30" s="16">
        <v>0.87009999999999998</v>
      </c>
      <c r="I30" s="16">
        <v>0.87709999999999999</v>
      </c>
      <c r="J30" s="16">
        <v>0.86240000000000006</v>
      </c>
      <c r="K30" s="16">
        <v>0.84809999999999997</v>
      </c>
    </row>
    <row r="31" spans="1:11" x14ac:dyDescent="0.25">
      <c r="A31" s="15" t="s">
        <v>230</v>
      </c>
      <c r="B31" s="15">
        <v>33</v>
      </c>
      <c r="C31" s="15" t="s">
        <v>230</v>
      </c>
      <c r="D31" s="17">
        <v>0.86529999999999996</v>
      </c>
      <c r="E31" s="17">
        <v>0.84760000000000002</v>
      </c>
      <c r="F31" s="16">
        <v>0.84450000000000003</v>
      </c>
      <c r="G31" s="16">
        <v>0.85150000000000003</v>
      </c>
      <c r="H31" s="16">
        <v>0.85950000000000004</v>
      </c>
      <c r="I31" s="16">
        <v>0.8448</v>
      </c>
      <c r="J31" s="16">
        <v>0.84989999999999999</v>
      </c>
      <c r="K31" s="16">
        <v>0.84989999999999999</v>
      </c>
    </row>
    <row r="32" spans="1:11" x14ac:dyDescent="0.25">
      <c r="A32" s="15" t="s">
        <v>231</v>
      </c>
      <c r="B32" s="15">
        <v>34</v>
      </c>
      <c r="C32" s="15" t="s">
        <v>231</v>
      </c>
      <c r="D32" s="17">
        <v>0.80120000000000002</v>
      </c>
      <c r="E32" s="17">
        <v>0.79920000000000002</v>
      </c>
      <c r="F32" s="16">
        <v>0.80789999999999995</v>
      </c>
      <c r="G32" s="16">
        <v>0.80200000000000005</v>
      </c>
      <c r="H32" s="16">
        <v>0.79259999999999997</v>
      </c>
      <c r="I32" s="16">
        <v>0.77980000000000005</v>
      </c>
      <c r="J32" s="16">
        <v>0.7833</v>
      </c>
      <c r="K32" s="16">
        <v>0.77969999999999995</v>
      </c>
    </row>
    <row r="33" spans="1:11" x14ac:dyDescent="0.25">
      <c r="A33" s="15" t="s">
        <v>232</v>
      </c>
      <c r="B33" s="15">
        <v>35</v>
      </c>
      <c r="C33" s="15" t="s">
        <v>232</v>
      </c>
      <c r="D33" s="17">
        <v>0.82989999999999997</v>
      </c>
      <c r="E33" s="17">
        <v>0.89160000000000006</v>
      </c>
      <c r="F33" s="16">
        <v>0.79159999999999997</v>
      </c>
      <c r="G33" s="16">
        <v>0.84609999999999996</v>
      </c>
      <c r="H33" s="16">
        <v>0.83679999999999999</v>
      </c>
      <c r="I33" s="16">
        <v>0.85040000000000004</v>
      </c>
      <c r="J33" s="16">
        <v>0.84930000000000005</v>
      </c>
      <c r="K33" s="16">
        <v>0.79410000000000003</v>
      </c>
    </row>
    <row r="34" spans="1:11" x14ac:dyDescent="0.25">
      <c r="A34" s="15" t="s">
        <v>233</v>
      </c>
      <c r="B34" s="15">
        <v>36</v>
      </c>
      <c r="C34" s="15" t="s">
        <v>233</v>
      </c>
      <c r="D34" s="17">
        <v>0.80100000000000005</v>
      </c>
      <c r="E34" s="17">
        <v>0.7873</v>
      </c>
      <c r="F34" s="16">
        <v>0.80789999999999995</v>
      </c>
      <c r="G34" s="16">
        <v>0.8095</v>
      </c>
      <c r="H34" s="16">
        <v>0.80940000000000001</v>
      </c>
      <c r="I34" s="16">
        <v>0.81040000000000001</v>
      </c>
      <c r="J34" s="16">
        <v>0.80220000000000002</v>
      </c>
      <c r="K34" s="16">
        <v>0.80530000000000002</v>
      </c>
    </row>
    <row r="35" spans="1:11" x14ac:dyDescent="0.25">
      <c r="A35" s="15" t="s">
        <v>234</v>
      </c>
      <c r="B35" s="15">
        <v>37</v>
      </c>
      <c r="C35" s="15" t="s">
        <v>234</v>
      </c>
      <c r="D35" s="17">
        <v>0.81720000000000004</v>
      </c>
      <c r="E35" s="17">
        <v>0.77080000000000004</v>
      </c>
      <c r="F35" s="16">
        <v>0.76590000000000003</v>
      </c>
      <c r="G35" s="16">
        <v>0.77669999999999995</v>
      </c>
      <c r="H35" s="16">
        <v>0.77229999999999999</v>
      </c>
      <c r="I35" s="16">
        <v>0.77029999999999998</v>
      </c>
      <c r="J35" s="16">
        <v>0.76950000000000007</v>
      </c>
      <c r="K35" s="16">
        <v>0.77280000000000004</v>
      </c>
    </row>
    <row r="36" spans="1:11" x14ac:dyDescent="0.25">
      <c r="A36" s="15" t="s">
        <v>235</v>
      </c>
      <c r="B36" s="15">
        <v>38</v>
      </c>
      <c r="C36" s="15" t="s">
        <v>235</v>
      </c>
      <c r="D36" s="17">
        <v>1.0467</v>
      </c>
      <c r="E36" s="17">
        <v>1.0210000000000001</v>
      </c>
      <c r="F36" s="16">
        <v>1.0392999999999999</v>
      </c>
      <c r="G36" s="16">
        <v>1.0436000000000001</v>
      </c>
      <c r="H36" s="16">
        <v>1.0690999999999999</v>
      </c>
      <c r="I36" s="16">
        <v>1.0561</v>
      </c>
      <c r="J36" s="16">
        <v>1.0612000000000001</v>
      </c>
      <c r="K36" s="16">
        <v>1.0523</v>
      </c>
    </row>
    <row r="37" spans="1:11" x14ac:dyDescent="0.25">
      <c r="A37" s="15" t="s">
        <v>236</v>
      </c>
      <c r="B37" s="15">
        <v>39</v>
      </c>
      <c r="C37" s="15" t="s">
        <v>236</v>
      </c>
      <c r="D37" s="17">
        <v>0.87229999999999996</v>
      </c>
      <c r="E37" s="17">
        <v>0.80210000000000004</v>
      </c>
      <c r="F37" s="16">
        <v>0.81079999999999997</v>
      </c>
      <c r="G37" s="16">
        <v>0.81530000000000002</v>
      </c>
      <c r="H37" s="16">
        <v>0.80189999999999995</v>
      </c>
      <c r="I37" s="16">
        <v>0.7984</v>
      </c>
      <c r="J37" s="16">
        <v>0.79620000000000002</v>
      </c>
      <c r="K37" s="16">
        <v>0.79479999999999995</v>
      </c>
    </row>
    <row r="38" spans="1:11" x14ac:dyDescent="0.25">
      <c r="A38" s="15" t="s">
        <v>237</v>
      </c>
      <c r="B38" s="15">
        <v>40</v>
      </c>
      <c r="C38" s="15" t="s">
        <v>237</v>
      </c>
      <c r="D38" s="17">
        <v>0.251</v>
      </c>
      <c r="E38" s="17">
        <v>0.4047</v>
      </c>
      <c r="F38" s="16">
        <v>0.4047</v>
      </c>
      <c r="G38" s="16">
        <v>0.4047</v>
      </c>
      <c r="H38" s="16">
        <v>0.4047</v>
      </c>
      <c r="I38" s="16">
        <v>0.4047</v>
      </c>
      <c r="J38" s="16">
        <v>0.4047</v>
      </c>
      <c r="K38" s="16">
        <v>0.4047</v>
      </c>
    </row>
    <row r="39" spans="1:11" x14ac:dyDescent="0.25">
      <c r="A39" s="15" t="s">
        <v>238</v>
      </c>
      <c r="B39" s="15">
        <v>42</v>
      </c>
      <c r="C39" s="15" t="s">
        <v>238</v>
      </c>
      <c r="D39" s="17">
        <v>0.80100000000000005</v>
      </c>
      <c r="E39" s="17">
        <v>0.81070000000000009</v>
      </c>
      <c r="F39" s="16">
        <v>0.80249999999999999</v>
      </c>
      <c r="G39" s="16">
        <v>0.82069999999999999</v>
      </c>
      <c r="H39" s="16">
        <v>0.80649999999999999</v>
      </c>
      <c r="I39" s="16">
        <v>0.83050000000000002</v>
      </c>
      <c r="J39" s="16">
        <v>0.81500000000000006</v>
      </c>
      <c r="K39" s="16">
        <v>0.80979999999999996</v>
      </c>
    </row>
    <row r="40" spans="1:11" x14ac:dyDescent="0.25">
      <c r="A40" s="15" t="s">
        <v>239</v>
      </c>
      <c r="B40" s="15">
        <v>43</v>
      </c>
      <c r="C40" s="15" t="s">
        <v>239</v>
      </c>
      <c r="D40" s="17">
        <v>0.78069999999999995</v>
      </c>
      <c r="E40" s="17">
        <v>0.81170000000000009</v>
      </c>
      <c r="F40" s="16">
        <v>0.8075</v>
      </c>
      <c r="G40" s="16">
        <v>0.78739999999999999</v>
      </c>
      <c r="H40" s="16">
        <v>0.80300000000000005</v>
      </c>
      <c r="I40" s="16">
        <v>0.78860000000000008</v>
      </c>
      <c r="J40" s="16">
        <v>0.78</v>
      </c>
      <c r="K40" s="16">
        <v>0.78149999999999997</v>
      </c>
    </row>
    <row r="41" spans="1:11" x14ac:dyDescent="0.25">
      <c r="A41" s="15" t="s">
        <v>240</v>
      </c>
      <c r="B41" s="15">
        <v>44</v>
      </c>
      <c r="C41" s="15" t="s">
        <v>240</v>
      </c>
      <c r="D41" s="17">
        <v>0.75139999999999996</v>
      </c>
      <c r="E41" s="17">
        <v>0.73410000000000009</v>
      </c>
      <c r="F41" s="16">
        <v>0.72209999999999996</v>
      </c>
      <c r="G41" s="16">
        <v>0.71599999999999997</v>
      </c>
      <c r="H41" s="16">
        <v>0.71460000000000001</v>
      </c>
      <c r="I41" s="16">
        <v>0.70760000000000001</v>
      </c>
      <c r="J41" s="16">
        <v>0.71300000000000008</v>
      </c>
      <c r="K41" s="16">
        <v>0.72070000000000001</v>
      </c>
    </row>
    <row r="42" spans="1:11" x14ac:dyDescent="0.25">
      <c r="A42" s="15" t="s">
        <v>241</v>
      </c>
      <c r="B42" s="15">
        <v>45</v>
      </c>
      <c r="C42" s="15" t="s">
        <v>241</v>
      </c>
      <c r="D42" s="17">
        <v>0.84340000000000004</v>
      </c>
      <c r="E42" s="17">
        <v>0.83010000000000006</v>
      </c>
      <c r="F42" s="16">
        <v>0.83720000000000006</v>
      </c>
      <c r="G42" s="16">
        <v>0.81879999999999997</v>
      </c>
      <c r="H42" s="16">
        <v>0.82110000000000005</v>
      </c>
      <c r="I42" s="16">
        <v>0.81310000000000004</v>
      </c>
      <c r="J42" s="16">
        <v>0.81390000000000007</v>
      </c>
      <c r="K42" s="16">
        <v>0.78839999999999999</v>
      </c>
    </row>
    <row r="43" spans="1:11" x14ac:dyDescent="0.25">
      <c r="A43" s="15" t="s">
        <v>242</v>
      </c>
      <c r="B43" s="15">
        <v>46</v>
      </c>
      <c r="C43" s="15" t="s">
        <v>242</v>
      </c>
      <c r="D43" s="17">
        <v>0.88770000000000004</v>
      </c>
      <c r="E43" s="17">
        <v>0.86780000000000002</v>
      </c>
      <c r="F43" s="16">
        <v>0.87680000000000002</v>
      </c>
      <c r="G43" s="16">
        <v>0.91420000000000001</v>
      </c>
      <c r="H43" s="16">
        <v>0.87139999999999995</v>
      </c>
      <c r="I43" s="16">
        <v>0.88960000000000006</v>
      </c>
      <c r="J43" s="16">
        <v>0.88719999999999999</v>
      </c>
      <c r="K43" s="16">
        <v>0.90910000000000002</v>
      </c>
    </row>
    <row r="44" spans="1:11" x14ac:dyDescent="0.25">
      <c r="A44" s="14" t="s">
        <v>243</v>
      </c>
      <c r="B44" s="15">
        <v>47</v>
      </c>
      <c r="C44" s="15" t="s">
        <v>243</v>
      </c>
      <c r="D44" s="17">
        <v>0.90280000000000005</v>
      </c>
      <c r="E44" s="17">
        <v>0.93470000000000009</v>
      </c>
      <c r="F44" s="16">
        <v>0.94389999999999996</v>
      </c>
      <c r="G44" s="16">
        <v>0.95340000000000003</v>
      </c>
      <c r="H44" s="16">
        <v>0.97130000000000005</v>
      </c>
      <c r="I44" s="16">
        <v>0.96110000000000007</v>
      </c>
      <c r="J44" s="16">
        <v>0.9820000000000001</v>
      </c>
      <c r="K44" s="16">
        <v>0.98950000000000005</v>
      </c>
    </row>
    <row r="45" spans="1:11" x14ac:dyDescent="0.25">
      <c r="A45" s="15" t="s">
        <v>244</v>
      </c>
      <c r="B45" s="15">
        <v>48</v>
      </c>
      <c r="C45" s="15" t="s">
        <v>244</v>
      </c>
      <c r="D45" s="17">
        <v>0.46800000000000003</v>
      </c>
      <c r="E45" s="17">
        <v>0.58650000000000002</v>
      </c>
      <c r="F45" s="16">
        <v>0.60019999999999996</v>
      </c>
      <c r="G45" s="16">
        <v>0.55089999999999995</v>
      </c>
      <c r="H45" s="16">
        <v>0.70320000000000005</v>
      </c>
      <c r="I45" s="16">
        <v>0.69635527813577713</v>
      </c>
      <c r="J45" s="16">
        <v>0.73980000000000001</v>
      </c>
      <c r="K45" s="16">
        <v>0.67420000000000002</v>
      </c>
    </row>
    <row r="46" spans="1:11" x14ac:dyDescent="0.25">
      <c r="A46" s="15" t="s">
        <v>245</v>
      </c>
      <c r="B46" s="15">
        <v>49</v>
      </c>
      <c r="C46" s="15" t="s">
        <v>245</v>
      </c>
      <c r="D46" s="17">
        <v>0.81769999999999998</v>
      </c>
      <c r="E46" s="17">
        <v>0.81580000000000008</v>
      </c>
      <c r="F46" s="16">
        <v>0.80230000000000001</v>
      </c>
      <c r="G46" s="16">
        <v>0.80569999999999997</v>
      </c>
      <c r="H46" s="16">
        <v>0.77339999999999998</v>
      </c>
      <c r="I46" s="16">
        <v>0.76690000000000003</v>
      </c>
      <c r="J46" s="16">
        <v>0.7661</v>
      </c>
      <c r="K46" s="16">
        <v>0.76890000000000003</v>
      </c>
    </row>
    <row r="47" spans="1:11" x14ac:dyDescent="0.25">
      <c r="A47" s="15" t="s">
        <v>246</v>
      </c>
      <c r="B47" s="15">
        <v>50</v>
      </c>
      <c r="C47" s="15" t="s">
        <v>246</v>
      </c>
      <c r="D47" s="17">
        <v>0.93640000000000001</v>
      </c>
      <c r="E47" s="17">
        <v>0.96690000000000009</v>
      </c>
      <c r="F47" s="16">
        <v>1.0266</v>
      </c>
      <c r="G47" s="16">
        <v>1.0666</v>
      </c>
      <c r="H47" s="16">
        <v>1.0291999999999999</v>
      </c>
      <c r="I47" s="16">
        <v>1.0179</v>
      </c>
      <c r="J47" s="16">
        <v>1.0402</v>
      </c>
      <c r="K47" s="16">
        <v>1.0507</v>
      </c>
    </row>
    <row r="48" spans="1:11" x14ac:dyDescent="0.25">
      <c r="A48" s="15" t="s">
        <v>247</v>
      </c>
      <c r="B48" s="15">
        <v>51</v>
      </c>
      <c r="C48" s="15" t="s">
        <v>247</v>
      </c>
      <c r="D48" s="17">
        <v>0.69630000000000003</v>
      </c>
      <c r="E48" s="17">
        <v>0.70850000000000002</v>
      </c>
      <c r="F48" s="16">
        <v>0.72440000000000004</v>
      </c>
      <c r="G48" s="16">
        <v>0.71860000000000002</v>
      </c>
      <c r="H48" s="16">
        <v>0.73870000000000002</v>
      </c>
      <c r="I48" s="16">
        <v>0.73</v>
      </c>
      <c r="J48" s="16">
        <v>0.73540000000000005</v>
      </c>
      <c r="K48" s="16">
        <v>0.73499999999999999</v>
      </c>
    </row>
    <row r="49" spans="1:11" x14ac:dyDescent="0.25">
      <c r="A49" s="15" t="s">
        <v>248</v>
      </c>
      <c r="B49" s="15">
        <v>52</v>
      </c>
      <c r="C49" s="15" t="s">
        <v>248</v>
      </c>
      <c r="D49" s="17">
        <v>0.84060000000000001</v>
      </c>
      <c r="E49" s="17">
        <v>0.85430000000000006</v>
      </c>
      <c r="F49" s="16">
        <v>0.86109999999999998</v>
      </c>
      <c r="G49" s="16">
        <v>0.89849999999999997</v>
      </c>
      <c r="H49" s="16">
        <v>0.92179999999999995</v>
      </c>
      <c r="I49" s="16">
        <v>0.8832000000000001</v>
      </c>
      <c r="J49" s="16">
        <v>0.89500000000000002</v>
      </c>
      <c r="K49" s="16">
        <v>0.9073</v>
      </c>
    </row>
    <row r="50" spans="1:11" x14ac:dyDescent="0.25">
      <c r="A50" s="15" t="s">
        <v>249</v>
      </c>
      <c r="B50" s="15">
        <v>53</v>
      </c>
      <c r="C50" s="15" t="s">
        <v>249</v>
      </c>
      <c r="D50" s="17">
        <v>0.98709999999999998</v>
      </c>
      <c r="E50" s="17">
        <v>0.95220000000000005</v>
      </c>
      <c r="F50" s="16">
        <v>0.93640000000000001</v>
      </c>
      <c r="G50" s="16">
        <v>0.93289999999999995</v>
      </c>
      <c r="H50" s="16">
        <v>0.94499999999999995</v>
      </c>
      <c r="I50" s="16">
        <v>0.96020000000000005</v>
      </c>
      <c r="J50" s="16">
        <v>0.94070000000000009</v>
      </c>
      <c r="K50" s="16">
        <v>0.94159999999999999</v>
      </c>
    </row>
    <row r="51" spans="1:11" x14ac:dyDescent="0.25">
      <c r="A51" s="15" t="s">
        <v>250</v>
      </c>
      <c r="B51" s="15">
        <v>65</v>
      </c>
      <c r="C51" s="15" t="s">
        <v>250</v>
      </c>
      <c r="D51" s="17">
        <v>0.96109999999999995</v>
      </c>
      <c r="E51" s="17">
        <v>0.96109999999999995</v>
      </c>
      <c r="F51" s="16">
        <v>0.96109999999999995</v>
      </c>
      <c r="G51" s="16">
        <v>0.96109999999999995</v>
      </c>
      <c r="H51" s="16">
        <v>0.96109999999999995</v>
      </c>
      <c r="I51" s="16">
        <v>0.96109999999999995</v>
      </c>
      <c r="J51" s="16">
        <v>0.96109999999999995</v>
      </c>
      <c r="K51" s="16">
        <v>0.96109999999999995</v>
      </c>
    </row>
    <row r="52" spans="1:11" x14ac:dyDescent="0.25">
      <c r="D52" s="64"/>
    </row>
    <row r="53" spans="1:11" x14ac:dyDescent="0.25">
      <c r="D53" s="64"/>
    </row>
    <row r="54" spans="1:11" x14ac:dyDescent="0.25">
      <c r="D54" s="64">
        <f>SUM(D2:D53)</f>
        <v>42.417900000000017</v>
      </c>
    </row>
    <row r="55" spans="1:11" x14ac:dyDescent="0.25">
      <c r="D55" s="64"/>
    </row>
    <row r="56" spans="1:11" x14ac:dyDescent="0.25">
      <c r="D56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Nursing</vt:lpstr>
      <vt:lpstr>PT &amp; OT</vt:lpstr>
      <vt:lpstr>SLP</vt:lpstr>
      <vt:lpstr>NTA</vt:lpstr>
      <vt:lpstr>Non-Case Mix</vt:lpstr>
      <vt:lpstr>Federal Register Tables</vt:lpstr>
      <vt:lpstr>Wage Index</vt:lpstr>
      <vt:lpstr>Summary!Print_Titles</vt:lpstr>
    </vt:vector>
  </TitlesOfParts>
  <Company>PCT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McFadden</dc:creator>
  <cp:lastModifiedBy>Joe McFadden</cp:lastModifiedBy>
  <cp:lastPrinted>2019-09-26T00:47:40Z</cp:lastPrinted>
  <dcterms:created xsi:type="dcterms:W3CDTF">2019-08-15T16:48:08Z</dcterms:created>
  <dcterms:modified xsi:type="dcterms:W3CDTF">2024-08-19T15:55:52Z</dcterms:modified>
</cp:coreProperties>
</file>